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totomotiv-my.sharepoint.com/personal/furkan_sapmaz_dogantrend_com/Documents/MG/Satış Koşulları/Ekim/"/>
    </mc:Choice>
  </mc:AlternateContent>
  <xr:revisionPtr revIDLastSave="0" documentId="8_{105AF985-1BB7-4BA1-85F4-A4458F6FBDE9}" xr6:coauthVersionLast="47" xr6:coauthVersionMax="47" xr10:uidLastSave="{00000000-0000-0000-0000-000000000000}"/>
  <workbookProtection workbookAlgorithmName="SHA-512" workbookHashValue="7+KtaaU3hIV2zKD2+eUYzQc7ZlW+5PfVc3q9JeAm2ufNCjNCWpiWg8bTt44VmtOPPMUid+E5R8gEsqPsk9XrkA==" workbookSaltValue="oMZGPlAeGN1sXTcZzHol0Q==" workbookSpinCount="100000" lockStructure="1"/>
  <bookViews>
    <workbookView showVerticalScroll="0" xWindow="-108" yWindow="-108" windowWidth="23256" windowHeight="12456" firstSheet="1" activeTab="1" xr2:uid="{00000000-000D-0000-FFFF-FFFF00000000}"/>
  </bookViews>
  <sheets>
    <sheet name="KATKISIZ İŞLEMLER" sheetId="16" state="hidden" r:id="rId1"/>
    <sheet name="KATKILI İŞLEMLER" sheetId="2" r:id="rId2"/>
    <sheet name="İLK TAKSİT PEŞİN - %0,59" sheetId="20" state="hidden" r:id="rId3"/>
    <sheet name="İLK TAKSİT PEŞİN - %0,99" sheetId="19" state="hidden" r:id="rId4"/>
    <sheet name="İLK TAKSİT PEŞİN - %1,69" sheetId="21" state="hidden" r:id="rId5"/>
    <sheet name="TİP,VADE,FAİZ" sheetId="4" state="hidden" r:id="rId6"/>
    <sheet name="KATKI PAYI" sheetId="8" state="hidden" r:id="rId7"/>
    <sheet name="HESAP" sheetId="3" state="hidden" r:id="rId8"/>
  </sheets>
  <definedNames>
    <definedName name="_xlnm._FilterDatabase" localSheetId="6" hidden="1">'KATKI PAYI'!$A$1:$AB$111</definedName>
    <definedName name="KampanyaListesi">INDEX('KATKI PAYI'!$S$2:$S$29,SMALL(IF('KATKI PAYI'!$S$2:$S$29&lt;&gt;"",ROW('KATKI PAYI'!$S$2:$S$29)-ROW('KATKI PAYI'!$S$2)+1),ROW('KATKI PAYI'!1048576:1048576)))</definedName>
    <definedName name="Model">'KATKI PAYI'!$AB$2:INDEX('KATKI PAYI'!$AB$2:$AB108,COUNTIF('KATKI PAYI'!$AB$2:$AB$111,"&lt;&gt;#N/A"))</definedName>
    <definedName name="TemizListe">'KATKI PAYI'!$AB$2:INDEX('KATKI PAYI'!$AB$2:$AB$111,COUNTIF('KATKI PAYI'!$AB$2:$AB$111,"&lt;&gt;#N/A"))</definedName>
    <definedName name="Z_DC951F13_F49E_4E21_8FB7_0605E290FF0E_.wvu.Cols" localSheetId="1" hidden="1">'KATKILI İŞLEMLER'!$F:$F</definedName>
    <definedName name="Z_DC951F13_F49E_4E21_8FB7_0605E290FF0E_.wvu.FilterData" localSheetId="6" hidden="1">'KATKI PAYI'!$A$1:$V$1</definedName>
    <definedName name="Z_DC951F13_F49E_4E21_8FB7_0605E290FF0E_.wvu.PrintArea" localSheetId="1" hidden="1">'KATKILI İŞLEMLER'!$A$2:$L$15</definedName>
  </definedNames>
  <calcPr calcId="191029"/>
  <customWorkbookViews>
    <customWorkbookView name="aa" guid="{DC951F13-F49E-4E21-8FB7-0605E290FF0E}" xWindow="33" windowWidth="1887" windowHeight="1030" activeSheetId="2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" i="19" l="1"/>
  <c r="F8" i="20"/>
  <c r="G8" i="20" s="1"/>
  <c r="C15" i="21"/>
  <c r="C14" i="21"/>
  <c r="D14" i="21" s="1"/>
  <c r="E14" i="21" s="1"/>
  <c r="G11" i="21"/>
  <c r="G10" i="21"/>
  <c r="E10" i="21"/>
  <c r="C9" i="21"/>
  <c r="F8" i="21"/>
  <c r="G8" i="21" s="1"/>
  <c r="C8" i="21"/>
  <c r="D8" i="21" s="1"/>
  <c r="H2" i="8"/>
  <c r="I2" i="8"/>
  <c r="J2" i="8"/>
  <c r="T2" i="8"/>
  <c r="X2" i="8"/>
  <c r="C15" i="20"/>
  <c r="C14" i="20"/>
  <c r="D14" i="20" s="1"/>
  <c r="E14" i="20" s="1"/>
  <c r="G11" i="20"/>
  <c r="G10" i="20"/>
  <c r="E10" i="20"/>
  <c r="C9" i="20"/>
  <c r="C8" i="20"/>
  <c r="D8" i="20" s="1"/>
  <c r="C14" i="19"/>
  <c r="D14" i="19" s="1"/>
  <c r="M2" i="8" l="1"/>
  <c r="N2" i="8" s="1"/>
  <c r="O2" i="8" s="1"/>
  <c r="U2" i="8" s="1"/>
  <c r="E8" i="21"/>
  <c r="E11" i="21" s="1"/>
  <c r="E8" i="20"/>
  <c r="E11" i="20" s="1"/>
  <c r="P2" i="8" l="1"/>
  <c r="Q2" i="8" s="1"/>
  <c r="V2" i="8" s="1"/>
  <c r="Y2" i="8"/>
  <c r="Z2" i="8" s="1"/>
  <c r="Y34" i="8"/>
  <c r="Y35" i="8"/>
  <c r="Y36" i="8"/>
  <c r="Y37" i="8"/>
  <c r="Y38" i="8"/>
  <c r="Y39" i="8"/>
  <c r="Y40" i="8"/>
  <c r="Y41" i="8"/>
  <c r="Y42" i="8"/>
  <c r="Y43" i="8"/>
  <c r="Y44" i="8"/>
  <c r="Y45" i="8"/>
  <c r="Y46" i="8"/>
  <c r="Y47" i="8"/>
  <c r="Y48" i="8"/>
  <c r="Y49" i="8"/>
  <c r="Y50" i="8"/>
  <c r="Y51" i="8"/>
  <c r="Y52" i="8"/>
  <c r="Y53" i="8"/>
  <c r="Y54" i="8"/>
  <c r="Y55" i="8"/>
  <c r="Y56" i="8"/>
  <c r="Y57" i="8"/>
  <c r="Y58" i="8"/>
  <c r="Y59" i="8"/>
  <c r="Y60" i="8"/>
  <c r="Y61" i="8"/>
  <c r="Y62" i="8"/>
  <c r="Y63" i="8"/>
  <c r="Y64" i="8"/>
  <c r="Y65" i="8"/>
  <c r="Y66" i="8"/>
  <c r="Y67" i="8"/>
  <c r="Y68" i="8"/>
  <c r="Y69" i="8"/>
  <c r="Y70" i="8"/>
  <c r="Y71" i="8"/>
  <c r="Y72" i="8"/>
  <c r="Y73" i="8"/>
  <c r="Y74" i="8"/>
  <c r="Y75" i="8"/>
  <c r="Y76" i="8"/>
  <c r="Y77" i="8"/>
  <c r="Y78" i="8"/>
  <c r="Y79" i="8"/>
  <c r="Y80" i="8"/>
  <c r="Y81" i="8"/>
  <c r="Y82" i="8"/>
  <c r="Y83" i="8"/>
  <c r="Y84" i="8"/>
  <c r="Y85" i="8"/>
  <c r="Y86" i="8"/>
  <c r="Y87" i="8"/>
  <c r="Y88" i="8"/>
  <c r="Y89" i="8"/>
  <c r="Y90" i="8"/>
  <c r="Y91" i="8"/>
  <c r="Y92" i="8"/>
  <c r="Y93" i="8"/>
  <c r="Y94" i="8"/>
  <c r="Y95" i="8"/>
  <c r="Y96" i="8"/>
  <c r="Y97" i="8"/>
  <c r="Y98" i="8"/>
  <c r="Y99" i="8"/>
  <c r="Y100" i="8"/>
  <c r="Y101" i="8"/>
  <c r="Y102" i="8"/>
  <c r="Y103" i="8"/>
  <c r="Y104" i="8"/>
  <c r="Y105" i="8"/>
  <c r="Y106" i="8"/>
  <c r="Y107" i="8"/>
  <c r="Y108" i="8"/>
  <c r="Y109" i="8"/>
  <c r="Y110" i="8"/>
  <c r="Y111" i="8"/>
  <c r="H30" i="8" l="1"/>
  <c r="I30" i="8"/>
  <c r="J30" i="8"/>
  <c r="T30" i="8"/>
  <c r="X30" i="8"/>
  <c r="H31" i="8"/>
  <c r="I31" i="8"/>
  <c r="J31" i="8"/>
  <c r="T31" i="8"/>
  <c r="X31" i="8"/>
  <c r="H32" i="8"/>
  <c r="I32" i="8"/>
  <c r="J32" i="8"/>
  <c r="T32" i="8"/>
  <c r="U32" i="8"/>
  <c r="X32" i="8"/>
  <c r="H33" i="8"/>
  <c r="I33" i="8"/>
  <c r="J33" i="8"/>
  <c r="T33" i="8"/>
  <c r="U33" i="8"/>
  <c r="X33" i="8"/>
  <c r="M32" i="8" l="1"/>
  <c r="N32" i="8" s="1"/>
  <c r="O32" i="8" s="1"/>
  <c r="M30" i="8"/>
  <c r="P30" i="8" s="1"/>
  <c r="Q30" i="8" s="1"/>
  <c r="V30" i="8" s="1"/>
  <c r="M33" i="8"/>
  <c r="P33" i="8" s="1"/>
  <c r="Q33" i="8" s="1"/>
  <c r="V33" i="8" s="1"/>
  <c r="Y33" i="8" s="1"/>
  <c r="M31" i="8"/>
  <c r="P31" i="8" s="1"/>
  <c r="Q31" i="8" s="1"/>
  <c r="V31" i="8" s="1"/>
  <c r="AB27" i="8"/>
  <c r="P32" i="8" l="1"/>
  <c r="Q32" i="8" s="1"/>
  <c r="V32" i="8" s="1"/>
  <c r="Y32" i="8" s="1"/>
  <c r="N30" i="8"/>
  <c r="O30" i="8" s="1"/>
  <c r="U30" i="8" s="1"/>
  <c r="Y30" i="8" s="1"/>
  <c r="N33" i="8"/>
  <c r="O33" i="8" s="1"/>
  <c r="N31" i="8"/>
  <c r="O31" i="8" s="1"/>
  <c r="U31" i="8" s="1"/>
  <c r="Y31" i="8" s="1"/>
  <c r="E3" i="3"/>
  <c r="T3" i="8" l="1"/>
  <c r="T4" i="8"/>
  <c r="T5" i="8"/>
  <c r="T6" i="8"/>
  <c r="T7" i="8"/>
  <c r="T8" i="8"/>
  <c r="T9" i="8"/>
  <c r="T10" i="8"/>
  <c r="T11" i="8"/>
  <c r="T12" i="8"/>
  <c r="T13" i="8"/>
  <c r="T14" i="8"/>
  <c r="T15" i="8"/>
  <c r="T16" i="8"/>
  <c r="T17" i="8"/>
  <c r="T18" i="8"/>
  <c r="T19" i="8"/>
  <c r="T20" i="8"/>
  <c r="T21" i="8"/>
  <c r="T22" i="8"/>
  <c r="T23" i="8"/>
  <c r="T24" i="8"/>
  <c r="T25" i="8"/>
  <c r="T26" i="8"/>
  <c r="T27" i="8"/>
  <c r="T28" i="8"/>
  <c r="T29" i="8"/>
  <c r="F4" i="2"/>
  <c r="R2" i="8" s="1"/>
  <c r="X29" i="8"/>
  <c r="X28" i="8"/>
  <c r="X27" i="8"/>
  <c r="X26" i="8"/>
  <c r="X25" i="8"/>
  <c r="X24" i="8"/>
  <c r="X23" i="8"/>
  <c r="X22" i="8"/>
  <c r="X21" i="8"/>
  <c r="X20" i="8"/>
  <c r="X19" i="8"/>
  <c r="X18" i="8"/>
  <c r="X17" i="8"/>
  <c r="X16" i="8"/>
  <c r="X15" i="8"/>
  <c r="X14" i="8"/>
  <c r="X13" i="8"/>
  <c r="X12" i="8"/>
  <c r="X11" i="8"/>
  <c r="X10" i="8"/>
  <c r="X9" i="8"/>
  <c r="X8" i="8"/>
  <c r="X7" i="8"/>
  <c r="X6" i="8"/>
  <c r="X5" i="8"/>
  <c r="X4" i="8"/>
  <c r="X3" i="8"/>
  <c r="U27" i="8"/>
  <c r="R33" i="8" l="1"/>
  <c r="R32" i="8"/>
  <c r="R31" i="8"/>
  <c r="R27" i="8"/>
  <c r="H7" i="16" l="1"/>
  <c r="E7" i="16"/>
  <c r="E9" i="16"/>
  <c r="J3" i="8" l="1"/>
  <c r="J4" i="8"/>
  <c r="J5" i="8"/>
  <c r="J6" i="8"/>
  <c r="J7" i="8"/>
  <c r="J8" i="8"/>
  <c r="J9" i="8"/>
  <c r="J10" i="8"/>
  <c r="J11" i="8"/>
  <c r="J12" i="8"/>
  <c r="J13" i="8"/>
  <c r="J14" i="8"/>
  <c r="J15" i="8"/>
  <c r="J16" i="8"/>
  <c r="J17" i="8"/>
  <c r="J18" i="8"/>
  <c r="J19" i="8"/>
  <c r="J20" i="8"/>
  <c r="J21" i="8"/>
  <c r="J22" i="8"/>
  <c r="J23" i="8"/>
  <c r="J24" i="8"/>
  <c r="J25" i="8"/>
  <c r="J26" i="8"/>
  <c r="J27" i="8"/>
  <c r="J28" i="8"/>
  <c r="J29" i="8"/>
  <c r="I3" i="8"/>
  <c r="I4" i="8"/>
  <c r="I5" i="8"/>
  <c r="I6" i="8"/>
  <c r="I7" i="8"/>
  <c r="I8" i="8"/>
  <c r="I9" i="8"/>
  <c r="I10" i="8"/>
  <c r="I11" i="8"/>
  <c r="I12" i="8"/>
  <c r="I13" i="8"/>
  <c r="I14" i="8"/>
  <c r="I15" i="8"/>
  <c r="I16" i="8"/>
  <c r="I17" i="8"/>
  <c r="I18" i="8"/>
  <c r="I19" i="8"/>
  <c r="I20" i="8"/>
  <c r="I21" i="8"/>
  <c r="I22" i="8"/>
  <c r="I23" i="8"/>
  <c r="I24" i="8"/>
  <c r="I25" i="8"/>
  <c r="I26" i="8"/>
  <c r="I27" i="8"/>
  <c r="I28" i="8"/>
  <c r="I29" i="8"/>
  <c r="H3" i="8"/>
  <c r="H4" i="8"/>
  <c r="H5" i="8"/>
  <c r="H6" i="8"/>
  <c r="H7" i="8"/>
  <c r="H8" i="8"/>
  <c r="H9" i="8"/>
  <c r="H10" i="8"/>
  <c r="H11" i="8"/>
  <c r="H12" i="8"/>
  <c r="H13" i="8"/>
  <c r="H14" i="8"/>
  <c r="H15" i="8"/>
  <c r="H16" i="8"/>
  <c r="H17" i="8"/>
  <c r="H18" i="8"/>
  <c r="H19" i="8"/>
  <c r="H20" i="8"/>
  <c r="H21" i="8"/>
  <c r="H22" i="8"/>
  <c r="H23" i="8"/>
  <c r="H24" i="8"/>
  <c r="H25" i="8"/>
  <c r="H26" i="8"/>
  <c r="H27" i="8"/>
  <c r="H28" i="8"/>
  <c r="H29" i="8"/>
  <c r="M29" i="8" l="1"/>
  <c r="P29" i="8" s="1"/>
  <c r="Q29" i="8" s="1"/>
  <c r="V29" i="8" s="1"/>
  <c r="M14" i="8"/>
  <c r="P14" i="8" s="1"/>
  <c r="Q14" i="8" s="1"/>
  <c r="V14" i="8" s="1"/>
  <c r="M6" i="8"/>
  <c r="N6" i="8" s="1"/>
  <c r="O6" i="8" s="1"/>
  <c r="U6" i="8" s="1"/>
  <c r="M27" i="8"/>
  <c r="P27" i="8" s="1"/>
  <c r="Q27" i="8" s="1"/>
  <c r="V27" i="8" s="1"/>
  <c r="Y27" i="8" s="1"/>
  <c r="M19" i="8"/>
  <c r="P19" i="8" s="1"/>
  <c r="Q19" i="8" s="1"/>
  <c r="V19" i="8" s="1"/>
  <c r="M4" i="8"/>
  <c r="N4" i="8" s="1"/>
  <c r="O4" i="8" s="1"/>
  <c r="U4" i="8" s="1"/>
  <c r="M25" i="8"/>
  <c r="P25" i="8" s="1"/>
  <c r="Q25" i="8" s="1"/>
  <c r="V25" i="8" s="1"/>
  <c r="M18" i="8"/>
  <c r="P18" i="8" s="1"/>
  <c r="Q18" i="8" s="1"/>
  <c r="V18" i="8" s="1"/>
  <c r="M11" i="8"/>
  <c r="P11" i="8" s="1"/>
  <c r="Q11" i="8" s="1"/>
  <c r="V11" i="8" s="1"/>
  <c r="M3" i="8"/>
  <c r="P3" i="8" s="1"/>
  <c r="Q3" i="8" s="1"/>
  <c r="V3" i="8" s="1"/>
  <c r="M24" i="8"/>
  <c r="P24" i="8" s="1"/>
  <c r="Q24" i="8" s="1"/>
  <c r="V24" i="8" s="1"/>
  <c r="M17" i="8"/>
  <c r="P17" i="8" s="1"/>
  <c r="Q17" i="8" s="1"/>
  <c r="V17" i="8" s="1"/>
  <c r="M10" i="8"/>
  <c r="P10" i="8" s="1"/>
  <c r="Q10" i="8" s="1"/>
  <c r="V10" i="8" s="1"/>
  <c r="M23" i="8"/>
  <c r="N23" i="8" s="1"/>
  <c r="O23" i="8" s="1"/>
  <c r="U23" i="8" s="1"/>
  <c r="M16" i="8"/>
  <c r="P16" i="8" s="1"/>
  <c r="Q16" i="8" s="1"/>
  <c r="V16" i="8" s="1"/>
  <c r="M9" i="8"/>
  <c r="P9" i="8" s="1"/>
  <c r="Q9" i="8" s="1"/>
  <c r="V9" i="8" s="1"/>
  <c r="M22" i="8"/>
  <c r="N22" i="8" s="1"/>
  <c r="O22" i="8" s="1"/>
  <c r="U22" i="8" s="1"/>
  <c r="M15" i="8"/>
  <c r="N15" i="8" s="1"/>
  <c r="O15" i="8" s="1"/>
  <c r="U15" i="8" s="1"/>
  <c r="M8" i="8"/>
  <c r="N8" i="8" s="1"/>
  <c r="O8" i="8" s="1"/>
  <c r="U8" i="8" s="1"/>
  <c r="M21" i="8"/>
  <c r="P21" i="8" s="1"/>
  <c r="Q21" i="8" s="1"/>
  <c r="V21" i="8" s="1"/>
  <c r="M7" i="8"/>
  <c r="P7" i="8" s="1"/>
  <c r="Q7" i="8" s="1"/>
  <c r="V7" i="8" s="1"/>
  <c r="M28" i="8"/>
  <c r="P28" i="8" s="1"/>
  <c r="Q28" i="8" s="1"/>
  <c r="V28" i="8" s="1"/>
  <c r="M20" i="8"/>
  <c r="P20" i="8" s="1"/>
  <c r="Q20" i="8" s="1"/>
  <c r="V20" i="8" s="1"/>
  <c r="M13" i="8"/>
  <c r="N13" i="8" s="1"/>
  <c r="O13" i="8" s="1"/>
  <c r="U13" i="8" s="1"/>
  <c r="M5" i="8"/>
  <c r="P5" i="8" s="1"/>
  <c r="Q5" i="8" s="1"/>
  <c r="V5" i="8" s="1"/>
  <c r="M26" i="8"/>
  <c r="N26" i="8" s="1"/>
  <c r="O26" i="8" s="1"/>
  <c r="U26" i="8" s="1"/>
  <c r="M12" i="8"/>
  <c r="N12" i="8" s="1"/>
  <c r="O12" i="8" s="1"/>
  <c r="U12" i="8" s="1"/>
  <c r="R8" i="8" l="1"/>
  <c r="N29" i="8"/>
  <c r="O29" i="8" s="1"/>
  <c r="U29" i="8" s="1"/>
  <c r="Y29" i="8" s="1"/>
  <c r="N14" i="8"/>
  <c r="O14" i="8" s="1"/>
  <c r="U14" i="8" s="1"/>
  <c r="Y14" i="8" s="1"/>
  <c r="P15" i="8"/>
  <c r="Q15" i="8" s="1"/>
  <c r="V15" i="8" s="1"/>
  <c r="Y15" i="8" s="1"/>
  <c r="N19" i="8"/>
  <c r="O19" i="8" s="1"/>
  <c r="U19" i="8" s="1"/>
  <c r="Y19" i="8" s="1"/>
  <c r="P13" i="8"/>
  <c r="Q13" i="8" s="1"/>
  <c r="V13" i="8" s="1"/>
  <c r="Y13" i="8" s="1"/>
  <c r="P23" i="8"/>
  <c r="Q23" i="8" s="1"/>
  <c r="V23" i="8" s="1"/>
  <c r="Y23" i="8" s="1"/>
  <c r="P4" i="8"/>
  <c r="Q4" i="8" s="1"/>
  <c r="V4" i="8" s="1"/>
  <c r="Y4" i="8" s="1"/>
  <c r="P8" i="8"/>
  <c r="Q8" i="8" s="1"/>
  <c r="V8" i="8" s="1"/>
  <c r="Y8" i="8" s="1"/>
  <c r="P22" i="8"/>
  <c r="Q22" i="8" s="1"/>
  <c r="V22" i="8" s="1"/>
  <c r="Y22" i="8" s="1"/>
  <c r="N20" i="8"/>
  <c r="O20" i="8" s="1"/>
  <c r="U20" i="8" s="1"/>
  <c r="Y20" i="8" s="1"/>
  <c r="N10" i="8"/>
  <c r="O10" i="8" s="1"/>
  <c r="U10" i="8" s="1"/>
  <c r="Y10" i="8" s="1"/>
  <c r="N11" i="8"/>
  <c r="O11" i="8" s="1"/>
  <c r="U11" i="8" s="1"/>
  <c r="Y11" i="8" s="1"/>
  <c r="P12" i="8"/>
  <c r="Q12" i="8" s="1"/>
  <c r="V12" i="8" s="1"/>
  <c r="Y12" i="8" s="1"/>
  <c r="N18" i="8"/>
  <c r="O18" i="8" s="1"/>
  <c r="U18" i="8" s="1"/>
  <c r="Y18" i="8" s="1"/>
  <c r="N27" i="8"/>
  <c r="O27" i="8" s="1"/>
  <c r="N24" i="8"/>
  <c r="O24" i="8" s="1"/>
  <c r="U24" i="8" s="1"/>
  <c r="N17" i="8"/>
  <c r="O17" i="8" s="1"/>
  <c r="U17" i="8" s="1"/>
  <c r="Y17" i="8" s="1"/>
  <c r="N3" i="8"/>
  <c r="O3" i="8" s="1"/>
  <c r="U3" i="8" s="1"/>
  <c r="Y3" i="8" s="1"/>
  <c r="P6" i="8"/>
  <c r="Q6" i="8" s="1"/>
  <c r="V6" i="8" s="1"/>
  <c r="Y6" i="8" s="1"/>
  <c r="P26" i="8"/>
  <c r="Q26" i="8" s="1"/>
  <c r="V26" i="8" s="1"/>
  <c r="Y26" i="8" s="1"/>
  <c r="N21" i="8"/>
  <c r="O21" i="8" s="1"/>
  <c r="U21" i="8" s="1"/>
  <c r="Y21" i="8" s="1"/>
  <c r="N25" i="8"/>
  <c r="O25" i="8" s="1"/>
  <c r="U25" i="8" s="1"/>
  <c r="Y25" i="8" s="1"/>
  <c r="N7" i="8"/>
  <c r="O7" i="8" s="1"/>
  <c r="U7" i="8" s="1"/>
  <c r="N9" i="8"/>
  <c r="O9" i="8" s="1"/>
  <c r="U9" i="8" s="1"/>
  <c r="N5" i="8"/>
  <c r="O5" i="8" s="1"/>
  <c r="U5" i="8" s="1"/>
  <c r="N16" i="8"/>
  <c r="O16" i="8" s="1"/>
  <c r="U16" i="8" s="1"/>
  <c r="Y16" i="8" s="1"/>
  <c r="N28" i="8"/>
  <c r="O28" i="8" s="1"/>
  <c r="U28" i="8" s="1"/>
  <c r="Y28" i="8" s="1"/>
  <c r="Y9" i="8" l="1"/>
  <c r="R24" i="8"/>
  <c r="Y24" i="8"/>
  <c r="Y7" i="8"/>
  <c r="Z7" i="8" s="1"/>
  <c r="R5" i="8"/>
  <c r="Y5" i="8"/>
  <c r="R3" i="8"/>
  <c r="C8" i="19"/>
  <c r="D8" i="19" s="1"/>
  <c r="E8" i="19" s="1"/>
  <c r="Z3" i="8" l="1"/>
  <c r="Z5" i="8"/>
  <c r="Z16" i="8"/>
  <c r="Z32" i="8"/>
  <c r="Z6" i="8"/>
  <c r="Z33" i="8"/>
  <c r="Z19" i="8"/>
  <c r="Z23" i="8"/>
  <c r="Z24" i="8"/>
  <c r="Z29" i="8"/>
  <c r="Z14" i="8"/>
  <c r="Z15" i="8"/>
  <c r="Z27" i="8"/>
  <c r="Z17" i="8"/>
  <c r="Z26" i="8"/>
  <c r="Z4" i="8"/>
  <c r="Z28" i="8"/>
  <c r="Z8" i="8"/>
  <c r="Z22" i="8"/>
  <c r="Z20" i="8"/>
  <c r="Z9" i="8"/>
  <c r="Z21" i="8"/>
  <c r="Z13" i="8"/>
  <c r="Z25" i="8"/>
  <c r="Z10" i="8"/>
  <c r="Z11" i="8"/>
  <c r="Z30" i="8"/>
  <c r="Z12" i="8"/>
  <c r="Z31" i="8"/>
  <c r="Z18" i="8"/>
  <c r="Z97" i="8"/>
  <c r="Z56" i="8"/>
  <c r="Z87" i="8"/>
  <c r="Z110" i="8"/>
  <c r="Z46" i="8"/>
  <c r="Z69" i="8"/>
  <c r="Z92" i="8"/>
  <c r="Z49" i="8"/>
  <c r="Z51" i="8"/>
  <c r="Z74" i="8"/>
  <c r="Z61" i="8"/>
  <c r="Z107" i="8"/>
  <c r="Z66" i="8"/>
  <c r="Z73" i="8"/>
  <c r="Z99" i="8"/>
  <c r="Z58" i="8"/>
  <c r="Z91" i="8"/>
  <c r="Z55" i="8"/>
  <c r="Z83" i="8"/>
  <c r="Z47" i="8"/>
  <c r="Z75" i="8"/>
  <c r="Z62" i="8"/>
  <c r="Z41" i="8"/>
  <c r="Z48" i="8"/>
  <c r="Z79" i="8"/>
  <c r="Z102" i="8"/>
  <c r="Z38" i="8"/>
  <c r="Z84" i="8"/>
  <c r="Z43" i="8"/>
  <c r="Z53" i="8"/>
  <c r="Z35" i="8"/>
  <c r="Z68" i="8"/>
  <c r="Z78" i="8"/>
  <c r="Z42" i="8"/>
  <c r="Z89" i="8"/>
  <c r="Z39" i="8"/>
  <c r="Z67" i="8"/>
  <c r="Z54" i="8"/>
  <c r="Z104" i="8"/>
  <c r="Z40" i="8"/>
  <c r="Z71" i="8"/>
  <c r="Z94" i="8"/>
  <c r="Z76" i="8"/>
  <c r="Z57" i="8"/>
  <c r="Z37" i="8"/>
  <c r="Z60" i="8"/>
  <c r="Z70" i="8"/>
  <c r="Z98" i="8"/>
  <c r="Z85" i="8"/>
  <c r="Z64" i="8"/>
  <c r="Z96" i="8"/>
  <c r="Z105" i="8"/>
  <c r="Z63" i="8"/>
  <c r="Z86" i="8"/>
  <c r="Z109" i="8"/>
  <c r="Z45" i="8"/>
  <c r="Z50" i="8"/>
  <c r="Z80" i="8"/>
  <c r="Z52" i="8"/>
  <c r="Z34" i="8"/>
  <c r="Z108" i="8"/>
  <c r="Z95" i="8"/>
  <c r="Z59" i="8"/>
  <c r="Z88" i="8"/>
  <c r="Z65" i="8"/>
  <c r="Z101" i="8"/>
  <c r="Z106" i="8"/>
  <c r="Z93" i="8"/>
  <c r="Z103" i="8"/>
  <c r="Z44" i="8"/>
  <c r="Z77" i="8"/>
  <c r="Z82" i="8"/>
  <c r="Z111" i="8"/>
  <c r="Z90" i="8"/>
  <c r="Z81" i="8"/>
  <c r="Z36" i="8"/>
  <c r="Z72" i="8"/>
  <c r="Z100" i="8"/>
  <c r="R4" i="8"/>
  <c r="R6" i="8"/>
  <c r="R11" i="8"/>
  <c r="H9" i="16"/>
  <c r="I10" i="2"/>
  <c r="G11" i="19"/>
  <c r="AA2" i="8" l="1" a="1"/>
  <c r="AA2" i="8" s="1"/>
  <c r="AB2" i="8" s="1"/>
  <c r="R7" i="8"/>
  <c r="R9" i="8"/>
  <c r="AA36" i="8" a="1"/>
  <c r="AA36" i="8" s="1"/>
  <c r="AB36" i="8" s="1"/>
  <c r="AA80" i="8" a="1"/>
  <c r="AA80" i="8" s="1"/>
  <c r="AB80" i="8" s="1"/>
  <c r="AA96" i="8" a="1"/>
  <c r="AA96" i="8" s="1"/>
  <c r="AB96" i="8" s="1"/>
  <c r="AA32" i="8" a="1"/>
  <c r="AA32" i="8" s="1"/>
  <c r="AB32" i="8" s="1"/>
  <c r="AA74" i="8" a="1"/>
  <c r="AA74" i="8" s="1"/>
  <c r="AB74" i="8" s="1"/>
  <c r="AA66" i="8" a="1"/>
  <c r="AA66" i="8" s="1"/>
  <c r="AB66" i="8" s="1"/>
  <c r="AA16" i="8" a="1"/>
  <c r="AA16" i="8" s="1"/>
  <c r="AB16" i="8" s="1"/>
  <c r="AA45" i="8" a="1"/>
  <c r="AA45" i="8" s="1"/>
  <c r="AB45" i="8" s="1"/>
  <c r="AA85" i="8" a="1"/>
  <c r="AA85" i="8" s="1"/>
  <c r="AB85" i="8" s="1"/>
  <c r="AA101" i="8" a="1"/>
  <c r="AA101" i="8" s="1"/>
  <c r="AB101" i="8" s="1"/>
  <c r="AA43" i="8" a="1"/>
  <c r="AA43" i="8" s="1"/>
  <c r="AB43" i="8" s="1"/>
  <c r="AA33" i="8" a="1"/>
  <c r="AA33" i="8" s="1"/>
  <c r="AB33" i="8" s="1"/>
  <c r="AA3" i="8" a="1"/>
  <c r="AA3" i="8" s="1"/>
  <c r="AB3" i="8" s="1"/>
  <c r="AA21" i="8" a="1"/>
  <c r="AA21" i="8" s="1"/>
  <c r="AB21" i="8" s="1"/>
  <c r="AA106" i="8" a="1"/>
  <c r="AA106" i="8" s="1"/>
  <c r="AB106" i="8" s="1"/>
  <c r="AA75" i="8" a="1"/>
  <c r="AA75" i="8" s="1"/>
  <c r="AB75" i="8" s="1"/>
  <c r="AA42" i="8" a="1"/>
  <c r="AA42" i="8" s="1"/>
  <c r="AB42" i="8" s="1"/>
  <c r="AA82" i="8" a="1"/>
  <c r="AA82" i="8" s="1"/>
  <c r="AB82" i="8" s="1"/>
  <c r="AA98" i="8" a="1"/>
  <c r="AA98" i="8" s="1"/>
  <c r="AB98" i="8" s="1"/>
  <c r="AA34" i="8" a="1"/>
  <c r="AA34" i="8" s="1"/>
  <c r="AB34" i="8" s="1"/>
  <c r="AA78" i="8" a="1"/>
  <c r="AA78" i="8" s="1"/>
  <c r="AB78" i="8" s="1"/>
  <c r="AA18" i="8" a="1"/>
  <c r="AA18" i="8" s="1"/>
  <c r="AB18" i="8" s="1"/>
  <c r="AA51" i="8" a="1"/>
  <c r="AA51" i="8" s="1"/>
  <c r="AB51" i="8" s="1"/>
  <c r="AA87" i="8" a="1"/>
  <c r="AA87" i="8" s="1"/>
  <c r="AB87" i="8" s="1"/>
  <c r="AA103" i="8" a="1"/>
  <c r="AA103" i="8" s="1"/>
  <c r="AB103" i="8" s="1"/>
  <c r="AA49" i="8" a="1"/>
  <c r="AA49" i="8" s="1"/>
  <c r="AB49" i="8" s="1"/>
  <c r="AA35" i="8" a="1"/>
  <c r="AA35" i="8" s="1"/>
  <c r="AB35" i="8" s="1"/>
  <c r="AA7" i="8" a="1"/>
  <c r="AA7" i="8" s="1"/>
  <c r="AB7" i="8" s="1"/>
  <c r="AA23" i="8" a="1"/>
  <c r="AA23" i="8" s="1"/>
  <c r="AB23" i="8" s="1"/>
  <c r="AA50" i="8" a="1"/>
  <c r="AA50" i="8" s="1"/>
  <c r="AB50" i="8" s="1"/>
  <c r="AA73" i="8" a="1"/>
  <c r="AA73" i="8" s="1"/>
  <c r="AB73" i="8" s="1"/>
  <c r="AA48" i="8" a="1"/>
  <c r="AA48" i="8" s="1"/>
  <c r="AB48" i="8" s="1"/>
  <c r="AA84" i="8" a="1"/>
  <c r="AA84" i="8" s="1"/>
  <c r="AB84" i="8" s="1"/>
  <c r="AA100" i="8" a="1"/>
  <c r="AA100" i="8" s="1"/>
  <c r="AB100" i="8" s="1"/>
  <c r="AA40" i="8" a="1"/>
  <c r="AA40" i="8" s="1"/>
  <c r="AB40" i="8" s="1"/>
  <c r="AA30" i="8" a="1"/>
  <c r="AA30" i="8" s="1"/>
  <c r="AB30" i="8" s="1"/>
  <c r="AA4" i="8" a="1"/>
  <c r="AA4" i="8" s="1"/>
  <c r="AB4" i="8" s="1"/>
  <c r="AA20" i="8" a="1"/>
  <c r="AA20" i="8" s="1"/>
  <c r="AB20" i="8" s="1"/>
  <c r="AA57" i="8" a="1"/>
  <c r="AA57" i="8" s="1"/>
  <c r="AB57" i="8" s="1"/>
  <c r="AA89" i="8" a="1"/>
  <c r="AA89" i="8" s="1"/>
  <c r="AB89" i="8" s="1"/>
  <c r="AA105" i="8" a="1"/>
  <c r="AA105" i="8" s="1"/>
  <c r="AB105" i="8" s="1"/>
  <c r="AA55" i="8" a="1"/>
  <c r="AA55" i="8" s="1"/>
  <c r="AB55" i="8" s="1"/>
  <c r="AA41" i="8" a="1"/>
  <c r="AA41" i="8" s="1"/>
  <c r="AB41" i="8" s="1"/>
  <c r="AA9" i="8" a="1"/>
  <c r="AA9" i="8" s="1"/>
  <c r="AB9" i="8" s="1"/>
  <c r="AA90" i="8" a="1"/>
  <c r="AA90" i="8" s="1"/>
  <c r="AB90" i="8" s="1"/>
  <c r="AA95" i="8" a="1"/>
  <c r="AA95" i="8" s="1"/>
  <c r="AB95" i="8" s="1"/>
  <c r="AA56" i="8" a="1"/>
  <c r="AA56" i="8" s="1"/>
  <c r="AB56" i="8" s="1"/>
  <c r="AA86" i="8" a="1"/>
  <c r="AA86" i="8" s="1"/>
  <c r="AB86" i="8" s="1"/>
  <c r="AA102" i="8" a="1"/>
  <c r="AA102" i="8" s="1"/>
  <c r="AB102" i="8" s="1"/>
  <c r="AA46" i="8" a="1"/>
  <c r="AA46" i="8" s="1"/>
  <c r="AB46" i="8" s="1"/>
  <c r="AA38" i="8" a="1"/>
  <c r="AA38" i="8" s="1"/>
  <c r="AB38" i="8" s="1"/>
  <c r="AA6" i="8" a="1"/>
  <c r="AA6" i="8" s="1"/>
  <c r="AB6" i="8" s="1"/>
  <c r="AA22" i="8" a="1"/>
  <c r="AA22" i="8" s="1"/>
  <c r="AB22" i="8" s="1"/>
  <c r="AA63" i="8" a="1"/>
  <c r="AA63" i="8" s="1"/>
  <c r="AB63" i="8" s="1"/>
  <c r="AA91" i="8" a="1"/>
  <c r="AA91" i="8" s="1"/>
  <c r="AB91" i="8" s="1"/>
  <c r="AA107" i="8" a="1"/>
  <c r="AA107" i="8" s="1"/>
  <c r="AB107" i="8" s="1"/>
  <c r="AA61" i="8" a="1"/>
  <c r="AA61" i="8" s="1"/>
  <c r="AB61" i="8" s="1"/>
  <c r="AA47" i="8" a="1"/>
  <c r="AA47" i="8" s="1"/>
  <c r="AB47" i="8" s="1"/>
  <c r="AA11" i="8" a="1"/>
  <c r="AA11" i="8" s="1"/>
  <c r="AB11" i="8" s="1"/>
  <c r="AA68" i="8" a="1"/>
  <c r="AA68" i="8" s="1"/>
  <c r="AB68" i="8" s="1"/>
  <c r="AA111" i="8" a="1"/>
  <c r="AA111" i="8" s="1"/>
  <c r="AB111" i="8" s="1"/>
  <c r="AA62" i="8" a="1"/>
  <c r="AA62" i="8" s="1"/>
  <c r="AB62" i="8" s="1"/>
  <c r="AA88" i="8" a="1"/>
  <c r="AA88" i="8" s="1"/>
  <c r="AB88" i="8" s="1"/>
  <c r="AA104" i="8" a="1"/>
  <c r="AA104" i="8" s="1"/>
  <c r="AB104" i="8" s="1"/>
  <c r="AA52" i="8" a="1"/>
  <c r="AA52" i="8" s="1"/>
  <c r="AB52" i="8" s="1"/>
  <c r="AA44" i="8" a="1"/>
  <c r="AA44" i="8" s="1"/>
  <c r="AB44" i="8" s="1"/>
  <c r="AA8" i="8" a="1"/>
  <c r="AA8" i="8" s="1"/>
  <c r="AB8" i="8" s="1"/>
  <c r="AA24" i="8" a="1"/>
  <c r="AA24" i="8" s="1"/>
  <c r="AB24" i="8" s="1"/>
  <c r="AA69" i="8" a="1"/>
  <c r="AA69" i="8" s="1"/>
  <c r="AB69" i="8" s="1"/>
  <c r="AA93" i="8" a="1"/>
  <c r="AA93" i="8" s="1"/>
  <c r="AB93" i="8" s="1"/>
  <c r="AA109" i="8" a="1"/>
  <c r="AA109" i="8" s="1"/>
  <c r="AB109" i="8" s="1"/>
  <c r="AA67" i="8" a="1"/>
  <c r="AA67" i="8" s="1"/>
  <c r="AB67" i="8" s="1"/>
  <c r="AA53" i="8" a="1"/>
  <c r="AA53" i="8" s="1"/>
  <c r="AB53" i="8" s="1"/>
  <c r="AA13" i="8" a="1"/>
  <c r="AA13" i="8" s="1"/>
  <c r="AB13" i="8" s="1"/>
  <c r="AA5" i="8" a="1"/>
  <c r="AA5" i="8" s="1"/>
  <c r="AB5" i="8" s="1"/>
  <c r="AA26" i="8" a="1"/>
  <c r="AA26" i="8" s="1"/>
  <c r="AB26" i="8" s="1"/>
  <c r="AA25" i="8" a="1"/>
  <c r="AA25" i="8" s="1"/>
  <c r="AB25" i="8" s="1"/>
  <c r="AA72" i="8" a="1"/>
  <c r="AA72" i="8" s="1"/>
  <c r="AB72" i="8" s="1"/>
  <c r="AA92" i="8" a="1"/>
  <c r="AA92" i="8" s="1"/>
  <c r="AB92" i="8" s="1"/>
  <c r="AA108" i="8" a="1"/>
  <c r="AA108" i="8" s="1"/>
  <c r="AB108" i="8" s="1"/>
  <c r="AA64" i="8" a="1"/>
  <c r="AA64" i="8" s="1"/>
  <c r="AB64" i="8" s="1"/>
  <c r="AA54" i="8" a="1"/>
  <c r="AA54" i="8" s="1"/>
  <c r="AB54" i="8" s="1"/>
  <c r="AA12" i="8" a="1"/>
  <c r="AA12" i="8" s="1"/>
  <c r="AB12" i="8" s="1"/>
  <c r="AA31" i="8" a="1"/>
  <c r="AA31" i="8" s="1"/>
  <c r="AB31" i="8" s="1"/>
  <c r="AA79" i="8" a="1"/>
  <c r="AA79" i="8" s="1"/>
  <c r="AB79" i="8" s="1"/>
  <c r="AA97" i="8" a="1"/>
  <c r="AA97" i="8" s="1"/>
  <c r="AB97" i="8" s="1"/>
  <c r="AA29" i="8" a="1"/>
  <c r="AA29" i="8" s="1"/>
  <c r="AB29" i="8" s="1"/>
  <c r="AA77" i="8" a="1"/>
  <c r="AA77" i="8" s="1"/>
  <c r="AB77" i="8" s="1"/>
  <c r="AA65" i="8" a="1"/>
  <c r="AA65" i="8" s="1"/>
  <c r="AB65" i="8" s="1"/>
  <c r="AA17" i="8" a="1"/>
  <c r="AA17" i="8" s="1"/>
  <c r="AB17" i="8" s="1"/>
  <c r="AA58" i="8" a="1"/>
  <c r="AA58" i="8" s="1"/>
  <c r="AB58" i="8" s="1"/>
  <c r="AA59" i="8" a="1"/>
  <c r="AA59" i="8" s="1"/>
  <c r="AB59" i="8" s="1"/>
  <c r="AA28" i="8" a="1"/>
  <c r="AA28" i="8" s="1"/>
  <c r="AB28" i="8" s="1"/>
  <c r="AA76" i="8" a="1"/>
  <c r="AA76" i="8" s="1"/>
  <c r="AB76" i="8" s="1"/>
  <c r="AA94" i="8" a="1"/>
  <c r="AA94" i="8" s="1"/>
  <c r="AB94" i="8" s="1"/>
  <c r="AA110" i="8" a="1"/>
  <c r="AA110" i="8" s="1"/>
  <c r="AB110" i="8" s="1"/>
  <c r="AA70" i="8" a="1"/>
  <c r="AA70" i="8" s="1"/>
  <c r="AB70" i="8" s="1"/>
  <c r="AA60" i="8" a="1"/>
  <c r="AA60" i="8" s="1"/>
  <c r="AB60" i="8" s="1"/>
  <c r="AA14" i="8" a="1"/>
  <c r="AA14" i="8" s="1"/>
  <c r="AB14" i="8" s="1"/>
  <c r="AA39" i="8" a="1"/>
  <c r="AA39" i="8" s="1"/>
  <c r="AB39" i="8" s="1"/>
  <c r="AA81" i="8" a="1"/>
  <c r="AA81" i="8" s="1"/>
  <c r="AB81" i="8" s="1"/>
  <c r="AA99" i="8" a="1"/>
  <c r="AA99" i="8" s="1"/>
  <c r="AB99" i="8" s="1"/>
  <c r="AA37" i="8" a="1"/>
  <c r="AA37" i="8" s="1"/>
  <c r="AB37" i="8" s="1"/>
  <c r="AA83" i="8" a="1"/>
  <c r="AA83" i="8" s="1"/>
  <c r="AB83" i="8" s="1"/>
  <c r="AA71" i="8" a="1"/>
  <c r="AA71" i="8" s="1"/>
  <c r="AB71" i="8" s="1"/>
  <c r="AA19" i="8" a="1"/>
  <c r="AA19" i="8" s="1"/>
  <c r="AB19" i="8" s="1"/>
  <c r="AA10" i="8" a="1"/>
  <c r="AA10" i="8" s="1"/>
  <c r="AB10" i="8" s="1"/>
  <c r="AA15" i="8" a="1"/>
  <c r="AA15" i="8" s="1"/>
  <c r="AB15" i="8" s="1"/>
  <c r="R12" i="8"/>
  <c r="R13" i="8" s="1"/>
  <c r="R10" i="8" l="1"/>
  <c r="R14" i="8"/>
  <c r="R15" i="8"/>
  <c r="G10" i="19"/>
  <c r="E10" i="19"/>
  <c r="H8" i="16"/>
  <c r="R16" i="8" l="1"/>
  <c r="R25" i="8"/>
  <c r="R26" i="8" s="1"/>
  <c r="I9" i="2"/>
  <c r="H9" i="2"/>
  <c r="R17" i="8" l="1"/>
  <c r="C15" i="19"/>
  <c r="C9" i="19"/>
  <c r="F3" i="3"/>
  <c r="R18" i="8" l="1"/>
  <c r="R19" i="8"/>
  <c r="R20" i="8" s="1"/>
  <c r="R21" i="8" s="1"/>
  <c r="R22" i="8" s="1"/>
  <c r="R23" i="8" s="1"/>
  <c r="C11" i="3"/>
  <c r="R28" i="8" l="1"/>
  <c r="R29" i="8" s="1"/>
  <c r="R30" i="8" s="1"/>
  <c r="D11" i="3"/>
  <c r="F11" i="3" s="1"/>
  <c r="S2" i="8" l="1" a="1"/>
  <c r="S2" i="8" s="1"/>
  <c r="E11" i="3"/>
  <c r="J11" i="3" s="1"/>
  <c r="D7" i="3"/>
  <c r="C7" i="3"/>
  <c r="B7" i="3"/>
  <c r="G3" i="3"/>
  <c r="D3" i="3"/>
  <c r="C3" i="3"/>
  <c r="B3" i="3"/>
  <c r="G12" i="2"/>
  <c r="E12" i="2"/>
  <c r="F11" i="16"/>
  <c r="E11" i="16"/>
  <c r="L3" i="3" l="1"/>
  <c r="H3" i="3"/>
  <c r="U3" i="3"/>
  <c r="E7" i="3"/>
  <c r="A7" i="3"/>
  <c r="G7" i="3"/>
  <c r="F7" i="16" s="1"/>
  <c r="A3" i="3"/>
  <c r="A11" i="3"/>
  <c r="S3" i="8" l="1" a="1"/>
  <c r="S3" i="8" s="1"/>
  <c r="I3" i="3"/>
  <c r="R3" i="3"/>
  <c r="S3" i="3" s="1"/>
  <c r="T3" i="3" s="1"/>
  <c r="F7" i="3"/>
  <c r="G7" i="16"/>
  <c r="E14" i="19"/>
  <c r="E8" i="2" l="1"/>
  <c r="G8" i="2" s="1"/>
  <c r="K3" i="3" l="1"/>
  <c r="J3" i="3" s="1"/>
  <c r="H10" i="2" s="1"/>
  <c r="D8" i="2"/>
  <c r="I8" i="2"/>
  <c r="H8" i="2"/>
  <c r="S4" i="8" a="1"/>
  <c r="S4" i="8" s="1"/>
  <c r="S5" i="8" s="1" a="1"/>
  <c r="S5" i="8" s="1"/>
  <c r="G8" i="19"/>
  <c r="G11" i="3"/>
  <c r="M11" i="3" s="1"/>
  <c r="L11" i="3" s="1"/>
  <c r="K11" i="3" s="1"/>
  <c r="Q3" i="3" l="1"/>
  <c r="P3" i="3" s="1"/>
  <c r="O3" i="3" s="1"/>
  <c r="N3" i="3" s="1"/>
  <c r="M3" i="3" s="1"/>
  <c r="S6" i="8" a="1"/>
  <c r="S6" i="8" s="1"/>
  <c r="S7" i="8" s="1" a="1"/>
  <c r="S7" i="8" s="1"/>
  <c r="H11" i="3"/>
  <c r="S8" i="8" l="1" a="1"/>
  <c r="S8" i="8" s="1"/>
  <c r="S9" i="8" s="1" a="1"/>
  <c r="S9" i="8" s="1"/>
  <c r="I11" i="3"/>
  <c r="E11" i="19" s="1"/>
</calcChain>
</file>

<file path=xl/sharedStrings.xml><?xml version="1.0" encoding="utf-8"?>
<sst xmlns="http://schemas.openxmlformats.org/spreadsheetml/2006/main" count="242" uniqueCount="74">
  <si>
    <t>Kredi Tipi</t>
  </si>
  <si>
    <t>Marka</t>
  </si>
  <si>
    <t>Model</t>
  </si>
  <si>
    <t>Kredi Tutarı</t>
  </si>
  <si>
    <t>Vade</t>
  </si>
  <si>
    <t>Baz Faiz</t>
  </si>
  <si>
    <t>Taksit Tutarı Baz</t>
  </si>
  <si>
    <t>Taksit Tutarı İndirimli</t>
  </si>
  <si>
    <t>İndirimli Faiz</t>
  </si>
  <si>
    <t>Bireysel</t>
  </si>
  <si>
    <t>Maximum Katkı Payı</t>
  </si>
  <si>
    <t>Bireysel Katkı Payı</t>
  </si>
  <si>
    <t>Katkı (A)</t>
  </si>
  <si>
    <t>Verim (A)</t>
  </si>
  <si>
    <t>BUGÜNKÜ (A)</t>
  </si>
  <si>
    <t>HESAP İÇİN (A)</t>
  </si>
  <si>
    <t>Verim (B)</t>
  </si>
  <si>
    <t>BUGÜNKÜ (B)</t>
  </si>
  <si>
    <t>HESAP İÇİN (B)</t>
  </si>
  <si>
    <t>Vergi</t>
  </si>
  <si>
    <t>Ticari</t>
  </si>
  <si>
    <t>BİREYSEL</t>
  </si>
  <si>
    <t>Bayi İçin Bireysel</t>
  </si>
  <si>
    <t>Kampanya Türü</t>
  </si>
  <si>
    <t>Faiz</t>
  </si>
  <si>
    <t>Kampanyalar</t>
  </si>
  <si>
    <t>Kredi Şimdi Ürün Seçimi</t>
  </si>
  <si>
    <t>Sadece Beyaz Arka Planlı Olan Hücrelerde Değişiklik Yapabilirsiniz.</t>
  </si>
  <si>
    <t>Birleşik 1</t>
  </si>
  <si>
    <t>Kampanya Adı</t>
  </si>
  <si>
    <t>Row</t>
  </si>
  <si>
    <t>Tanımlı Kampanya</t>
  </si>
  <si>
    <t>Birleşik 2</t>
  </si>
  <si>
    <t>Taksit Tutarı</t>
  </si>
  <si>
    <t>Faiz Oranı</t>
  </si>
  <si>
    <t>Bireysel Vade</t>
  </si>
  <si>
    <t>Ticari Vade</t>
  </si>
  <si>
    <t>Max. Kredi Tutarı</t>
  </si>
  <si>
    <t>Max. Vade</t>
  </si>
  <si>
    <t>Araç Fatura / Kasko Değeri</t>
  </si>
  <si>
    <t>*Taksit tutarında ödeme planına göre küçük farklılar çıkabilir, asıl olan ödeme planıdır.</t>
  </si>
  <si>
    <t>*Araç Fatura / Kasko değerine göre uygun kredi tutarı ve vadeyi hesaplamak için araç değerini giriniz.</t>
  </si>
  <si>
    <t>Baz için</t>
  </si>
  <si>
    <t>İndirimli Taksit Tutarı</t>
  </si>
  <si>
    <t>İndirimli Faiz Oranı</t>
  </si>
  <si>
    <t>Müşteri Toplam Geri Ödeme</t>
  </si>
  <si>
    <t>ITP için</t>
  </si>
  <si>
    <t>Müşteri Geri Ödeme</t>
  </si>
  <si>
    <t>*Taksit ve toplam geri ödeme tutarında ödeme planına göre küçük farklılar çıkabilir, asıl olan ödeme planıdır.</t>
  </si>
  <si>
    <t>Kredi tutarı</t>
  </si>
  <si>
    <t>Müşteri Toplam Ödeme Baz</t>
  </si>
  <si>
    <t>Müşteri Peşin Katkı Payı</t>
  </si>
  <si>
    <t>Baz Oran</t>
  </si>
  <si>
    <t>Bayi Hesabına Geçecek Net Tutar</t>
  </si>
  <si>
    <t>Müşteri Katkı Payı Kredi Oranı</t>
  </si>
  <si>
    <t>Oransal Pay</t>
  </si>
  <si>
    <t>11 Ay</t>
  </si>
  <si>
    <t>17 Ay</t>
  </si>
  <si>
    <t>23 Ay</t>
  </si>
  <si>
    <t>Bireysel Baz Faiz</t>
  </si>
  <si>
    <t>Ticari Baz Faiz</t>
  </si>
  <si>
    <t>bireysel k</t>
  </si>
  <si>
    <t>ticari k</t>
  </si>
  <si>
    <t>KASKOLU</t>
  </si>
  <si>
    <t>MODEL YILI</t>
  </si>
  <si>
    <t>KATEGORİ KODU</t>
  </si>
  <si>
    <t>KASKO DURUMU</t>
  </si>
  <si>
    <t>ITP</t>
  </si>
  <si>
    <t>BAŞVURU</t>
  </si>
  <si>
    <t>TİCARİ</t>
  </si>
  <si>
    <t>MG7</t>
  </si>
  <si>
    <t>500.000 TL 12 Ay %1,49</t>
  </si>
  <si>
    <t>500B TL 12 Ay %1,49</t>
  </si>
  <si>
    <t>MG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</si>
</sst>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8" formatCode="&quot;₺&quot;#,##0.00;[Red]\-&quot;₺&quot;#,##0.00"/>
    <numFmt numFmtId="44" formatCode="_-&quot;₺&quot;* #,##0.00_-;\-&quot;₺&quot;* #,##0.00_-;_-&quot;₺&quot;* &quot;-&quot;??_-;_-@_-"/>
    <numFmt numFmtId="43" formatCode="_-* #,##0.00_-;\-* #,##0.00_-;_-* &quot;-&quot;??_-;_-@_-"/>
    <numFmt numFmtId="164" formatCode="_(* #,##0.00_);_(* \(#,##0.00\);_(* &quot;-&quot;??_);_(@_)"/>
    <numFmt numFmtId="165" formatCode="&quot;₺&quot;#,##0"/>
    <numFmt numFmtId="166" formatCode="&quot;₺&quot;#,##0.00"/>
    <numFmt numFmtId="167" formatCode="_-* #,##0.0000_-;\-* #,##0.0000_-;_-* &quot;-&quot;??_-;_-@_-"/>
  </numFmts>
  <fonts count="41" x14ac:knownFonts="1">
    <font>
      <sz val="11"/>
      <color theme="1"/>
      <name val="Calibri"/>
      <family val="2"/>
      <scheme val="minor"/>
    </font>
    <font>
      <sz val="10"/>
      <name val="Arial"/>
      <family val="2"/>
      <charset val="162"/>
    </font>
    <font>
      <b/>
      <sz val="10"/>
      <name val="Arial"/>
      <family val="2"/>
      <charset val="162"/>
    </font>
    <font>
      <sz val="10"/>
      <name val="Arial"/>
      <family val="2"/>
      <charset val="162"/>
    </font>
    <font>
      <sz val="10"/>
      <color rgb="FFFF0000"/>
      <name val="Arial"/>
      <family val="2"/>
      <charset val="162"/>
    </font>
    <font>
      <b/>
      <sz val="10"/>
      <color theme="1"/>
      <name val="Arial"/>
      <family val="2"/>
      <charset val="162"/>
    </font>
    <font>
      <sz val="10"/>
      <color rgb="FFC00000"/>
      <name val="Arial"/>
      <family val="2"/>
      <charset val="162"/>
    </font>
    <font>
      <sz val="10"/>
      <color rgb="FFC00000"/>
      <name val="Microsoft PhagsPa"/>
      <family val="2"/>
    </font>
    <font>
      <sz val="10"/>
      <name val="Microsoft PhagsPa"/>
      <family val="2"/>
    </font>
    <font>
      <sz val="11"/>
      <color theme="1"/>
      <name val="Calibri"/>
      <family val="2"/>
      <scheme val="minor"/>
    </font>
    <font>
      <sz val="14"/>
      <name val="Arial"/>
      <family val="2"/>
      <charset val="162"/>
    </font>
    <font>
      <sz val="9"/>
      <name val="Arial"/>
      <family val="2"/>
      <charset val="162"/>
    </font>
    <font>
      <b/>
      <sz val="14"/>
      <color rgb="FF002060"/>
      <name val="Microsoft PhagsPa"/>
      <family val="2"/>
    </font>
    <font>
      <b/>
      <sz val="11"/>
      <color rgb="FF002060"/>
      <name val="Microsoft PhagsPa"/>
      <family val="2"/>
    </font>
    <font>
      <b/>
      <sz val="14"/>
      <color rgb="FFC00000"/>
      <name val="Microsoft PhagsPa"/>
      <family val="2"/>
    </font>
    <font>
      <b/>
      <sz val="11"/>
      <color theme="0"/>
      <name val="Microsoft PhagsPa"/>
      <family val="2"/>
    </font>
    <font>
      <sz val="12"/>
      <color theme="0"/>
      <name val="Microsoft PhagsPa"/>
      <family val="2"/>
    </font>
    <font>
      <b/>
      <sz val="26"/>
      <name val="Arial"/>
      <family val="2"/>
      <charset val="162"/>
    </font>
    <font>
      <sz val="9"/>
      <color rgb="FFC00000"/>
      <name val="Microsoft PhagsPa"/>
      <family val="2"/>
    </font>
    <font>
      <b/>
      <sz val="9"/>
      <name val="Microsoft PhagsPa"/>
      <family val="2"/>
    </font>
    <font>
      <sz val="11"/>
      <color theme="1"/>
      <name val="Microsoft PhagsPa"/>
      <family val="2"/>
    </font>
    <font>
      <b/>
      <sz val="11"/>
      <color rgb="FFC00000"/>
      <name val="Calibri"/>
      <family val="2"/>
      <charset val="162"/>
      <scheme val="minor"/>
    </font>
    <font>
      <b/>
      <sz val="11"/>
      <color theme="1"/>
      <name val="Microsoft PhagsPa"/>
      <family val="2"/>
    </font>
    <font>
      <b/>
      <sz val="14"/>
      <color theme="1"/>
      <name val="Microsoft PhagsPa"/>
      <family val="2"/>
    </font>
    <font>
      <b/>
      <sz val="12"/>
      <color theme="1"/>
      <name val="Microsoft PhagsPa"/>
      <family val="2"/>
    </font>
    <font>
      <b/>
      <sz val="10"/>
      <color theme="1"/>
      <name val="Microsoft PhagsPa"/>
      <family val="2"/>
    </font>
    <font>
      <sz val="14"/>
      <color theme="1"/>
      <name val="Arial"/>
      <family val="2"/>
      <charset val="162"/>
    </font>
    <font>
      <sz val="10"/>
      <color theme="1"/>
      <name val="Arial"/>
      <family val="2"/>
      <charset val="162"/>
    </font>
    <font>
      <b/>
      <sz val="26"/>
      <color theme="1"/>
      <name val="Arial"/>
      <family val="2"/>
      <charset val="162"/>
    </font>
    <font>
      <sz val="9"/>
      <color theme="1"/>
      <name val="Microsoft PhagsPa"/>
      <family val="2"/>
    </font>
    <font>
      <b/>
      <sz val="9"/>
      <color rgb="FFC00000"/>
      <name val="Microsoft PhagsPa"/>
      <family val="2"/>
    </font>
    <font>
      <b/>
      <sz val="12"/>
      <color rgb="FF002060"/>
      <name val="Microsoft PhagsPa"/>
      <family val="2"/>
    </font>
    <font>
      <sz val="9"/>
      <color rgb="FF002060"/>
      <name val="Microsoft PhagsPa"/>
      <family val="2"/>
    </font>
    <font>
      <b/>
      <sz val="10"/>
      <color rgb="FFC00000"/>
      <name val="Microsoft PhagsPa"/>
      <family val="2"/>
    </font>
    <font>
      <sz val="11"/>
      <color theme="1"/>
      <name val="Calibri"/>
      <family val="2"/>
    </font>
    <font>
      <b/>
      <sz val="14"/>
      <color rgb="FF002060"/>
      <name val="Calibri"/>
      <family val="2"/>
      <scheme val="minor"/>
    </font>
    <font>
      <sz val="14"/>
      <color rgb="FF002060"/>
      <name val="Calibri"/>
      <family val="2"/>
      <charset val="162"/>
      <scheme val="minor"/>
    </font>
    <font>
      <b/>
      <sz val="10"/>
      <color rgb="FFC00000"/>
      <name val="Arial"/>
      <family val="2"/>
      <charset val="162"/>
    </font>
    <font>
      <b/>
      <sz val="11"/>
      <name val="Arial"/>
      <family val="2"/>
      <charset val="162"/>
    </font>
    <font>
      <sz val="11"/>
      <name val="Arial"/>
      <family val="2"/>
      <charset val="162"/>
    </font>
    <font>
      <sz val="11"/>
      <color theme="1"/>
      <name val="Bahnschrift SemiBold"/>
      <family val="2"/>
      <charset val="16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7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1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44" fontId="9" fillId="0" borderId="0" applyFont="0" applyFill="0" applyBorder="0" applyAlignment="0" applyProtection="0"/>
  </cellStyleXfs>
  <cellXfs count="133">
    <xf numFmtId="0" fontId="0" fillId="0" borderId="0" xfId="0"/>
    <xf numFmtId="0" fontId="1" fillId="0" borderId="0" xfId="1"/>
    <xf numFmtId="0" fontId="3" fillId="0" borderId="0" xfId="1" applyFont="1"/>
    <xf numFmtId="0" fontId="3" fillId="0" borderId="2" xfId="1" applyFont="1" applyBorder="1"/>
    <xf numFmtId="0" fontId="4" fillId="0" borderId="1" xfId="1" applyFont="1" applyBorder="1"/>
    <xf numFmtId="0" fontId="2" fillId="0" borderId="1" xfId="1" applyFont="1" applyBorder="1"/>
    <xf numFmtId="164" fontId="2" fillId="0" borderId="1" xfId="2" applyFont="1" applyBorder="1"/>
    <xf numFmtId="10" fontId="2" fillId="0" borderId="1" xfId="3" applyNumberFormat="1" applyFont="1" applyBorder="1"/>
    <xf numFmtId="8" fontId="5" fillId="0" borderId="1" xfId="1" applyNumberFormat="1" applyFont="1" applyBorder="1"/>
    <xf numFmtId="8" fontId="2" fillId="0" borderId="1" xfId="1" applyNumberFormat="1" applyFont="1" applyBorder="1"/>
    <xf numFmtId="164" fontId="6" fillId="0" borderId="1" xfId="2" applyFont="1" applyBorder="1"/>
    <xf numFmtId="3" fontId="7" fillId="0" borderId="1" xfId="1" applyNumberFormat="1" applyFont="1" applyBorder="1" applyAlignment="1">
      <alignment horizontal="center"/>
    </xf>
    <xf numFmtId="38" fontId="7" fillId="0" borderId="1" xfId="1" applyNumberFormat="1" applyFont="1" applyBorder="1"/>
    <xf numFmtId="4" fontId="7" fillId="0" borderId="1" xfId="1" applyNumberFormat="1" applyFont="1" applyBorder="1" applyAlignment="1">
      <alignment horizontal="center"/>
    </xf>
    <xf numFmtId="0" fontId="8" fillId="0" borderId="1" xfId="2" applyNumberFormat="1" applyFont="1" applyBorder="1" applyAlignment="1" applyProtection="1">
      <alignment horizontal="center"/>
    </xf>
    <xf numFmtId="10" fontId="3" fillId="0" borderId="0" xfId="3" applyNumberFormat="1" applyFont="1"/>
    <xf numFmtId="10" fontId="1" fillId="0" borderId="0" xfId="4" applyNumberFormat="1" applyFont="1"/>
    <xf numFmtId="0" fontId="4" fillId="0" borderId="0" xfId="1" applyFont="1"/>
    <xf numFmtId="0" fontId="2" fillId="0" borderId="0" xfId="1" applyFont="1"/>
    <xf numFmtId="164" fontId="2" fillId="0" borderId="0" xfId="2" applyFont="1" applyBorder="1"/>
    <xf numFmtId="10" fontId="2" fillId="0" borderId="0" xfId="3" applyNumberFormat="1" applyFont="1" applyBorder="1"/>
    <xf numFmtId="8" fontId="5" fillId="0" borderId="0" xfId="1" applyNumberFormat="1" applyFont="1"/>
    <xf numFmtId="8" fontId="2" fillId="0" borderId="0" xfId="1" applyNumberFormat="1" applyFont="1"/>
    <xf numFmtId="164" fontId="6" fillId="0" borderId="0" xfId="2" applyFont="1" applyBorder="1"/>
    <xf numFmtId="3" fontId="7" fillId="0" borderId="0" xfId="1" applyNumberFormat="1" applyFont="1" applyAlignment="1">
      <alignment horizontal="center"/>
    </xf>
    <xf numFmtId="38" fontId="7" fillId="0" borderId="0" xfId="1" applyNumberFormat="1" applyFont="1"/>
    <xf numFmtId="4" fontId="7" fillId="0" borderId="0" xfId="1" applyNumberFormat="1" applyFont="1" applyAlignment="1">
      <alignment horizontal="center"/>
    </xf>
    <xf numFmtId="0" fontId="1" fillId="0" borderId="2" xfId="1" applyBorder="1"/>
    <xf numFmtId="0" fontId="1" fillId="2" borderId="0" xfId="1" applyFill="1" applyProtection="1">
      <protection hidden="1"/>
    </xf>
    <xf numFmtId="0" fontId="1" fillId="2" borderId="0" xfId="1" applyFill="1" applyAlignment="1" applyProtection="1">
      <alignment horizontal="center" vertical="center"/>
      <protection hidden="1"/>
    </xf>
    <xf numFmtId="0" fontId="10" fillId="2" borderId="0" xfId="1" applyFont="1" applyFill="1" applyAlignment="1" applyProtection="1">
      <alignment horizontal="center" vertical="center"/>
      <protection hidden="1"/>
    </xf>
    <xf numFmtId="0" fontId="10" fillId="2" borderId="0" xfId="1" applyFont="1" applyFill="1" applyProtection="1">
      <protection hidden="1"/>
    </xf>
    <xf numFmtId="0" fontId="2" fillId="2" borderId="0" xfId="1" applyFont="1" applyFill="1" applyAlignment="1" applyProtection="1">
      <alignment horizontal="center" vertical="center" wrapText="1"/>
      <protection hidden="1"/>
    </xf>
    <xf numFmtId="0" fontId="2" fillId="3" borderId="3" xfId="1" applyFont="1" applyFill="1" applyBorder="1"/>
    <xf numFmtId="0" fontId="11" fillId="2" borderId="0" xfId="1" applyFont="1" applyFill="1" applyAlignment="1" applyProtection="1">
      <alignment wrapText="1"/>
      <protection hidden="1"/>
    </xf>
    <xf numFmtId="0" fontId="13" fillId="2" borderId="0" xfId="1" applyFont="1" applyFill="1" applyAlignment="1" applyProtection="1">
      <alignment horizontal="center" vertical="center"/>
      <protection hidden="1"/>
    </xf>
    <xf numFmtId="0" fontId="13" fillId="2" borderId="0" xfId="1" applyFont="1" applyFill="1" applyAlignment="1" applyProtection="1">
      <alignment horizontal="center" vertical="center" wrapText="1"/>
      <protection hidden="1"/>
    </xf>
    <xf numFmtId="8" fontId="14" fillId="2" borderId="0" xfId="1" applyNumberFormat="1" applyFont="1" applyFill="1" applyAlignment="1" applyProtection="1">
      <alignment horizontal="center" vertical="center"/>
      <protection hidden="1"/>
    </xf>
    <xf numFmtId="10" fontId="14" fillId="2" borderId="0" xfId="3" applyNumberFormat="1" applyFont="1" applyFill="1" applyBorder="1" applyAlignment="1" applyProtection="1">
      <alignment horizontal="center" vertical="center"/>
      <protection hidden="1"/>
    </xf>
    <xf numFmtId="10" fontId="12" fillId="2" borderId="0" xfId="3" applyNumberFormat="1" applyFont="1" applyFill="1" applyBorder="1" applyAlignment="1" applyProtection="1">
      <alignment horizontal="center" vertical="center"/>
      <protection hidden="1"/>
    </xf>
    <xf numFmtId="0" fontId="14" fillId="2" borderId="0" xfId="1" applyFont="1" applyFill="1" applyAlignment="1" applyProtection="1">
      <alignment horizontal="center" vertical="center" wrapText="1"/>
      <protection hidden="1"/>
    </xf>
    <xf numFmtId="0" fontId="15" fillId="2" borderId="0" xfId="1" applyFont="1" applyFill="1" applyAlignment="1" applyProtection="1">
      <alignment horizontal="center" vertical="center"/>
      <protection hidden="1"/>
    </xf>
    <xf numFmtId="0" fontId="16" fillId="2" borderId="0" xfId="1" applyFont="1" applyFill="1" applyAlignment="1" applyProtection="1">
      <alignment horizontal="center" vertical="center"/>
      <protection hidden="1"/>
    </xf>
    <xf numFmtId="0" fontId="2" fillId="2" borderId="0" xfId="1" applyFont="1" applyFill="1" applyAlignment="1" applyProtection="1">
      <alignment vertical="center" wrapText="1"/>
      <protection hidden="1"/>
    </xf>
    <xf numFmtId="0" fontId="17" fillId="2" borderId="0" xfId="1" applyFont="1" applyFill="1" applyAlignment="1" applyProtection="1">
      <alignment horizontal="left" vertical="center"/>
      <protection hidden="1"/>
    </xf>
    <xf numFmtId="0" fontId="12" fillId="2" borderId="0" xfId="1" applyFont="1" applyFill="1" applyAlignment="1" applyProtection="1">
      <alignment horizontal="center" vertical="center" wrapText="1"/>
      <protection hidden="1"/>
    </xf>
    <xf numFmtId="0" fontId="1" fillId="2" borderId="0" xfId="1" applyFill="1" applyAlignment="1" applyProtection="1">
      <alignment vertical="center"/>
      <protection hidden="1"/>
    </xf>
    <xf numFmtId="0" fontId="18" fillId="2" borderId="0" xfId="1" applyFont="1" applyFill="1" applyAlignment="1" applyProtection="1">
      <alignment horizontal="center"/>
      <protection hidden="1"/>
    </xf>
    <xf numFmtId="0" fontId="6" fillId="2" borderId="0" xfId="1" applyFont="1" applyFill="1" applyAlignment="1" applyProtection="1">
      <alignment vertical="center"/>
      <protection hidden="1"/>
    </xf>
    <xf numFmtId="0" fontId="0" fillId="2" borderId="0" xfId="0" applyFill="1" applyAlignment="1">
      <alignment horizontal="center" vertical="center"/>
    </xf>
    <xf numFmtId="0" fontId="0" fillId="2" borderId="0" xfId="0" applyFill="1" applyAlignment="1" applyProtection="1">
      <alignment horizontal="center" vertical="center"/>
      <protection hidden="1"/>
    </xf>
    <xf numFmtId="0" fontId="2" fillId="2" borderId="0" xfId="1" applyFont="1" applyFill="1" applyAlignment="1" applyProtection="1">
      <alignment horizontal="center" vertical="center"/>
      <protection hidden="1"/>
    </xf>
    <xf numFmtId="0" fontId="20" fillId="2" borderId="0" xfId="0" applyFont="1" applyFill="1" applyAlignment="1" applyProtection="1">
      <alignment horizontal="center" vertical="center"/>
      <protection hidden="1"/>
    </xf>
    <xf numFmtId="0" fontId="11" fillId="2" borderId="0" xfId="1" applyFont="1" applyFill="1" applyAlignment="1" applyProtection="1">
      <alignment horizontal="center" vertical="center" wrapText="1"/>
      <protection hidden="1"/>
    </xf>
    <xf numFmtId="0" fontId="18" fillId="2" borderId="0" xfId="1" applyFont="1" applyFill="1" applyProtection="1">
      <protection hidden="1"/>
    </xf>
    <xf numFmtId="0" fontId="12" fillId="2" borderId="0" xfId="1" applyFont="1" applyFill="1" applyAlignment="1" applyProtection="1">
      <alignment horizontal="center" vertical="center"/>
      <protection locked="0" hidden="1"/>
    </xf>
    <xf numFmtId="0" fontId="18" fillId="2" borderId="0" xfId="1" applyFont="1" applyFill="1" applyAlignment="1" applyProtection="1">
      <alignment vertical="center"/>
      <protection hidden="1"/>
    </xf>
    <xf numFmtId="3" fontId="21" fillId="2" borderId="1" xfId="1" applyNumberFormat="1" applyFont="1" applyFill="1" applyBorder="1" applyAlignment="1">
      <alignment horizontal="center"/>
    </xf>
    <xf numFmtId="166" fontId="14" fillId="2" borderId="0" xfId="3" applyNumberFormat="1" applyFont="1" applyFill="1" applyBorder="1" applyAlignment="1" applyProtection="1">
      <alignment horizontal="center" vertical="center"/>
      <protection hidden="1"/>
    </xf>
    <xf numFmtId="10" fontId="14" fillId="2" borderId="0" xfId="1" applyNumberFormat="1" applyFont="1" applyFill="1" applyAlignment="1" applyProtection="1">
      <alignment horizontal="center" vertical="center"/>
      <protection hidden="1"/>
    </xf>
    <xf numFmtId="0" fontId="19" fillId="2" borderId="0" xfId="1" applyFont="1" applyFill="1" applyAlignment="1" applyProtection="1">
      <alignment horizontal="center" vertical="center"/>
      <protection hidden="1"/>
    </xf>
    <xf numFmtId="0" fontId="22" fillId="2" borderId="0" xfId="1" applyFont="1" applyFill="1" applyAlignment="1" applyProtection="1">
      <alignment horizontal="center" vertical="center"/>
      <protection hidden="1"/>
    </xf>
    <xf numFmtId="165" fontId="23" fillId="2" borderId="0" xfId="2" applyNumberFormat="1" applyFont="1" applyFill="1" applyBorder="1" applyAlignment="1" applyProtection="1">
      <alignment horizontal="center" vertical="center"/>
      <protection locked="0" hidden="1"/>
    </xf>
    <xf numFmtId="0" fontId="23" fillId="2" borderId="0" xfId="1" applyFont="1" applyFill="1" applyAlignment="1" applyProtection="1">
      <alignment horizontal="center" vertical="center"/>
      <protection locked="0" hidden="1"/>
    </xf>
    <xf numFmtId="10" fontId="23" fillId="2" borderId="0" xfId="1" applyNumberFormat="1" applyFont="1" applyFill="1" applyAlignment="1" applyProtection="1">
      <alignment horizontal="center" vertical="center"/>
      <protection hidden="1"/>
    </xf>
    <xf numFmtId="166" fontId="23" fillId="2" borderId="0" xfId="3" applyNumberFormat="1" applyFont="1" applyFill="1" applyBorder="1" applyAlignment="1" applyProtection="1">
      <alignment horizontal="center" vertical="center"/>
      <protection hidden="1"/>
    </xf>
    <xf numFmtId="8" fontId="23" fillId="2" borderId="0" xfId="1" applyNumberFormat="1" applyFont="1" applyFill="1" applyAlignment="1" applyProtection="1">
      <alignment horizontal="center" vertical="center"/>
      <protection hidden="1"/>
    </xf>
    <xf numFmtId="0" fontId="9" fillId="2" borderId="0" xfId="0" applyFont="1" applyFill="1" applyAlignment="1" applyProtection="1">
      <alignment horizontal="center" vertical="center"/>
      <protection hidden="1"/>
    </xf>
    <xf numFmtId="0" fontId="24" fillId="2" borderId="0" xfId="1" applyFont="1" applyFill="1" applyAlignment="1" applyProtection="1">
      <alignment horizontal="center" vertical="center"/>
      <protection locked="0" hidden="1"/>
    </xf>
    <xf numFmtId="0" fontId="24" fillId="2" borderId="0" xfId="1" applyFont="1" applyFill="1" applyAlignment="1" applyProtection="1">
      <alignment horizontal="center" vertical="center" wrapText="1"/>
      <protection locked="0" hidden="1"/>
    </xf>
    <xf numFmtId="0" fontId="25" fillId="2" borderId="0" xfId="1" applyFont="1" applyFill="1" applyAlignment="1" applyProtection="1">
      <alignment horizontal="center" vertical="center" wrapText="1"/>
      <protection locked="0" hidden="1"/>
    </xf>
    <xf numFmtId="165" fontId="24" fillId="2" borderId="0" xfId="2" applyNumberFormat="1" applyFont="1" applyFill="1" applyBorder="1" applyAlignment="1" applyProtection="1">
      <alignment horizontal="center" vertical="center"/>
      <protection locked="0" hidden="1"/>
    </xf>
    <xf numFmtId="0" fontId="22" fillId="2" borderId="0" xfId="1" applyFont="1" applyFill="1" applyAlignment="1" applyProtection="1">
      <alignment horizontal="center" vertical="center" wrapText="1"/>
      <protection hidden="1"/>
    </xf>
    <xf numFmtId="0" fontId="26" fillId="2" borderId="0" xfId="1" applyFont="1" applyFill="1" applyProtection="1">
      <protection hidden="1"/>
    </xf>
    <xf numFmtId="166" fontId="23" fillId="2" borderId="0" xfId="2" applyNumberFormat="1" applyFont="1" applyFill="1" applyBorder="1" applyAlignment="1" applyProtection="1">
      <alignment horizontal="center" vertical="center"/>
      <protection hidden="1"/>
    </xf>
    <xf numFmtId="0" fontId="27" fillId="2" borderId="0" xfId="1" applyFont="1" applyFill="1" applyProtection="1">
      <protection hidden="1"/>
    </xf>
    <xf numFmtId="10" fontId="23" fillId="2" borderId="0" xfId="3" applyNumberFormat="1" applyFont="1" applyFill="1" applyBorder="1" applyAlignment="1" applyProtection="1">
      <alignment horizontal="center" vertical="center" wrapText="1"/>
      <protection hidden="1"/>
    </xf>
    <xf numFmtId="3" fontId="23" fillId="2" borderId="0" xfId="2" applyNumberFormat="1" applyFont="1" applyFill="1" applyBorder="1" applyAlignment="1" applyProtection="1">
      <alignment horizontal="center" vertical="center"/>
      <protection locked="0" hidden="1"/>
    </xf>
    <xf numFmtId="0" fontId="27" fillId="2" borderId="0" xfId="1" applyFont="1" applyFill="1" applyAlignment="1" applyProtection="1">
      <alignment horizontal="center" vertical="center"/>
      <protection hidden="1"/>
    </xf>
    <xf numFmtId="0" fontId="23" fillId="2" borderId="0" xfId="1" applyFont="1" applyFill="1" applyAlignment="1" applyProtection="1">
      <alignment horizontal="center" vertical="center" wrapText="1"/>
      <protection hidden="1"/>
    </xf>
    <xf numFmtId="0" fontId="28" fillId="2" borderId="0" xfId="1" applyFont="1" applyFill="1" applyAlignment="1" applyProtection="1">
      <alignment horizontal="left" vertical="center"/>
      <protection hidden="1"/>
    </xf>
    <xf numFmtId="0" fontId="27" fillId="2" borderId="0" xfId="1" applyFont="1" applyFill="1" applyAlignment="1" applyProtection="1">
      <alignment vertical="center"/>
      <protection hidden="1"/>
    </xf>
    <xf numFmtId="0" fontId="0" fillId="2" borderId="0" xfId="0" applyFill="1" applyProtection="1">
      <protection hidden="1"/>
    </xf>
    <xf numFmtId="0" fontId="23" fillId="2" borderId="0" xfId="1" applyFont="1" applyFill="1" applyAlignment="1" applyProtection="1">
      <alignment horizontal="center" vertical="center"/>
      <protection hidden="1"/>
    </xf>
    <xf numFmtId="0" fontId="19" fillId="2" borderId="0" xfId="1" applyFont="1" applyFill="1" applyAlignment="1" applyProtection="1">
      <alignment vertical="center"/>
      <protection hidden="1"/>
    </xf>
    <xf numFmtId="16" fontId="0" fillId="2" borderId="0" xfId="0" applyNumberFormat="1" applyFill="1" applyProtection="1">
      <protection hidden="1"/>
    </xf>
    <xf numFmtId="43" fontId="0" fillId="2" borderId="0" xfId="0" applyNumberFormat="1" applyFill="1" applyProtection="1">
      <protection hidden="1"/>
    </xf>
    <xf numFmtId="167" fontId="2" fillId="2" borderId="0" xfId="1" applyNumberFormat="1" applyFont="1" applyFill="1" applyAlignment="1" applyProtection="1">
      <alignment horizontal="center" vertical="center"/>
      <protection hidden="1"/>
    </xf>
    <xf numFmtId="166" fontId="2" fillId="0" borderId="1" xfId="2" applyNumberFormat="1" applyFont="1" applyBorder="1"/>
    <xf numFmtId="165" fontId="12" fillId="2" borderId="0" xfId="2" applyNumberFormat="1" applyFont="1" applyFill="1" applyBorder="1" applyAlignment="1" applyProtection="1">
      <alignment horizontal="center" vertical="center"/>
      <protection locked="0" hidden="1"/>
    </xf>
    <xf numFmtId="166" fontId="0" fillId="2" borderId="0" xfId="0" applyNumberFormat="1" applyFill="1" applyAlignment="1">
      <alignment horizontal="center" vertical="center"/>
    </xf>
    <xf numFmtId="166" fontId="0" fillId="2" borderId="0" xfId="0" applyNumberFormat="1" applyFill="1" applyAlignment="1" applyProtection="1">
      <alignment horizontal="center" vertical="center"/>
      <protection hidden="1"/>
    </xf>
    <xf numFmtId="166" fontId="0" fillId="2" borderId="0" xfId="0" applyNumberFormat="1" applyFill="1" applyProtection="1">
      <protection hidden="1"/>
    </xf>
    <xf numFmtId="8" fontId="30" fillId="4" borderId="0" xfId="1" applyNumberFormat="1" applyFont="1" applyFill="1" applyAlignment="1" applyProtection="1">
      <alignment horizontal="center" vertical="center"/>
      <protection hidden="1"/>
    </xf>
    <xf numFmtId="166" fontId="31" fillId="4" borderId="0" xfId="1" applyNumberFormat="1" applyFont="1" applyFill="1" applyAlignment="1" applyProtection="1">
      <alignment horizontal="center" vertical="center" wrapText="1"/>
      <protection hidden="1"/>
    </xf>
    <xf numFmtId="2" fontId="32" fillId="4" borderId="0" xfId="1" applyNumberFormat="1" applyFont="1" applyFill="1" applyAlignment="1" applyProtection="1">
      <alignment horizontal="center" vertical="center" wrapText="1"/>
      <protection hidden="1"/>
    </xf>
    <xf numFmtId="8" fontId="30" fillId="2" borderId="0" xfId="1" applyNumberFormat="1" applyFont="1" applyFill="1" applyAlignment="1" applyProtection="1">
      <alignment horizontal="center" vertical="center"/>
      <protection hidden="1"/>
    </xf>
    <xf numFmtId="2" fontId="32" fillId="2" borderId="0" xfId="1" applyNumberFormat="1" applyFont="1" applyFill="1" applyAlignment="1" applyProtection="1">
      <alignment horizontal="center" vertical="center" wrapText="1"/>
      <protection hidden="1"/>
    </xf>
    <xf numFmtId="8" fontId="33" fillId="4" borderId="0" xfId="1" applyNumberFormat="1" applyFont="1" applyFill="1" applyAlignment="1" applyProtection="1">
      <alignment horizontal="center" vertical="center"/>
      <protection hidden="1"/>
    </xf>
    <xf numFmtId="0" fontId="34" fillId="4" borderId="0" xfId="0" applyFont="1" applyFill="1" applyAlignment="1" applyProtection="1">
      <alignment horizontal="center" vertical="center"/>
      <protection hidden="1"/>
    </xf>
    <xf numFmtId="166" fontId="12" fillId="4" borderId="0" xfId="1" applyNumberFormat="1" applyFont="1" applyFill="1" applyAlignment="1" applyProtection="1">
      <alignment horizontal="center" vertical="center" wrapText="1"/>
      <protection hidden="1"/>
    </xf>
    <xf numFmtId="0" fontId="12" fillId="2" borderId="0" xfId="1" applyFont="1" applyFill="1" applyAlignment="1" applyProtection="1">
      <alignment horizontal="center" vertical="center"/>
      <protection hidden="1"/>
    </xf>
    <xf numFmtId="3" fontId="12" fillId="2" borderId="0" xfId="2" applyNumberFormat="1" applyFont="1" applyFill="1" applyBorder="1" applyAlignment="1" applyProtection="1">
      <alignment horizontal="center" vertical="center"/>
      <protection hidden="1"/>
    </xf>
    <xf numFmtId="0" fontId="0" fillId="5" borderId="0" xfId="0" applyFill="1"/>
    <xf numFmtId="0" fontId="1" fillId="5" borderId="0" xfId="1" applyFill="1"/>
    <xf numFmtId="0" fontId="35" fillId="2" borderId="0" xfId="1" applyFont="1" applyFill="1" applyAlignment="1">
      <alignment horizontal="center" vertical="center"/>
    </xf>
    <xf numFmtId="0" fontId="36" fillId="2" borderId="0" xfId="1" applyFont="1" applyFill="1" applyAlignment="1">
      <alignment horizontal="center" vertical="center"/>
    </xf>
    <xf numFmtId="10" fontId="36" fillId="2" borderId="0" xfId="4" applyNumberFormat="1" applyFont="1" applyFill="1" applyBorder="1" applyAlignment="1">
      <alignment horizontal="center" vertical="center"/>
    </xf>
    <xf numFmtId="10" fontId="36" fillId="2" borderId="0" xfId="1" applyNumberFormat="1" applyFont="1" applyFill="1" applyAlignment="1">
      <alignment horizontal="center" vertical="center"/>
    </xf>
    <xf numFmtId="166" fontId="0" fillId="2" borderId="0" xfId="0" applyNumberFormat="1" applyFill="1"/>
    <xf numFmtId="166" fontId="1" fillId="0" borderId="0" xfId="5" applyNumberFormat="1" applyFont="1" applyAlignment="1">
      <alignment horizontal="right"/>
    </xf>
    <xf numFmtId="10" fontId="1" fillId="0" borderId="0" xfId="3" applyNumberFormat="1" applyFont="1"/>
    <xf numFmtId="10" fontId="0" fillId="5" borderId="0" xfId="4" applyNumberFormat="1" applyFont="1" applyFill="1"/>
    <xf numFmtId="164" fontId="37" fillId="5" borderId="1" xfId="2" applyFont="1" applyFill="1" applyBorder="1"/>
    <xf numFmtId="0" fontId="38" fillId="0" borderId="1" xfId="1" applyFont="1" applyBorder="1" applyAlignment="1">
      <alignment horizontal="center"/>
    </xf>
    <xf numFmtId="0" fontId="39" fillId="0" borderId="1" xfId="1" applyFont="1" applyBorder="1"/>
    <xf numFmtId="0" fontId="3" fillId="0" borderId="1" xfId="1" applyFont="1" applyBorder="1"/>
    <xf numFmtId="0" fontId="1" fillId="0" borderId="1" xfId="1" applyBorder="1"/>
    <xf numFmtId="10" fontId="3" fillId="0" borderId="1" xfId="3" applyNumberFormat="1" applyFont="1" applyBorder="1"/>
    <xf numFmtId="10" fontId="1" fillId="0" borderId="1" xfId="3" applyNumberFormat="1" applyFont="1" applyBorder="1"/>
    <xf numFmtId="0" fontId="7" fillId="0" borderId="1" xfId="1" applyFont="1" applyBorder="1" applyAlignment="1">
      <alignment horizontal="center"/>
    </xf>
    <xf numFmtId="0" fontId="2" fillId="3" borderId="3" xfId="1" applyFont="1" applyFill="1" applyBorder="1" applyAlignment="1">
      <alignment horizontal="center" vertical="center"/>
    </xf>
    <xf numFmtId="0" fontId="1" fillId="0" borderId="0" xfId="1" applyAlignment="1">
      <alignment horizontal="center" vertical="center"/>
    </xf>
    <xf numFmtId="0" fontId="40" fillId="2" borderId="0" xfId="0" applyFont="1" applyFill="1" applyAlignment="1">
      <alignment horizontal="center" vertical="center"/>
    </xf>
    <xf numFmtId="0" fontId="18" fillId="2" borderId="0" xfId="1" applyFont="1" applyFill="1" applyAlignment="1" applyProtection="1">
      <alignment horizontal="center"/>
      <protection hidden="1"/>
    </xf>
    <xf numFmtId="0" fontId="18" fillId="2" borderId="0" xfId="1" applyFont="1" applyFill="1" applyAlignment="1" applyProtection="1">
      <alignment horizontal="center" vertical="center" wrapText="1"/>
      <protection hidden="1"/>
    </xf>
    <xf numFmtId="0" fontId="19" fillId="2" borderId="0" xfId="1" applyFont="1" applyFill="1" applyAlignment="1" applyProtection="1">
      <alignment horizontal="center" vertical="center"/>
      <protection hidden="1"/>
    </xf>
    <xf numFmtId="0" fontId="2" fillId="2" borderId="0" xfId="1" applyFont="1" applyFill="1" applyAlignment="1" applyProtection="1">
      <alignment horizontal="center"/>
      <protection hidden="1"/>
    </xf>
    <xf numFmtId="0" fontId="35" fillId="2" borderId="0" xfId="1" applyFont="1" applyFill="1" applyAlignment="1">
      <alignment horizontal="center" vertical="center"/>
    </xf>
    <xf numFmtId="0" fontId="33" fillId="2" borderId="0" xfId="1" applyFont="1" applyFill="1" applyAlignment="1" applyProtection="1">
      <alignment horizontal="left" vertical="center" indent="1"/>
      <protection hidden="1"/>
    </xf>
    <xf numFmtId="10" fontId="18" fillId="2" borderId="0" xfId="3" applyNumberFormat="1" applyFont="1" applyFill="1" applyBorder="1" applyAlignment="1" applyProtection="1">
      <alignment horizontal="center" vertical="center" wrapText="1"/>
      <protection hidden="1"/>
    </xf>
    <xf numFmtId="0" fontId="25" fillId="2" borderId="0" xfId="1" applyFont="1" applyFill="1" applyAlignment="1" applyProtection="1">
      <alignment horizontal="left" vertical="center" indent="1"/>
      <protection hidden="1"/>
    </xf>
    <xf numFmtId="10" fontId="29" fillId="2" borderId="0" xfId="3" applyNumberFormat="1" applyFont="1" applyFill="1" applyBorder="1" applyAlignment="1" applyProtection="1">
      <alignment horizontal="center" vertical="center"/>
      <protection hidden="1"/>
    </xf>
  </cellXfs>
  <cellStyles count="6">
    <cellStyle name="Comma 2" xfId="2" xr:uid="{00000000-0005-0000-0000-000000000000}"/>
    <cellStyle name="Normal" xfId="0" builtinId="0"/>
    <cellStyle name="Normal 2" xfId="1" xr:uid="{00000000-0005-0000-0000-000003000000}"/>
    <cellStyle name="ParaBirimi" xfId="5" builtinId="4"/>
    <cellStyle name="Percent 2" xfId="3" xr:uid="{00000000-0005-0000-0000-000005000000}"/>
    <cellStyle name="Yüzde" xfId="4" builtinId="5"/>
  </cellStyles>
  <dxfs count="0"/>
  <tableStyles count="0" defaultTableStyle="TableStyleMedium2" defaultPivotStyle="PivotStyleLight16"/>
  <colors>
    <mruColors>
      <color rgb="FFDAE3F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902677</xdr:colOff>
      <xdr:row>6</xdr:row>
      <xdr:rowOff>17460</xdr:rowOff>
    </xdr:from>
    <xdr:to>
      <xdr:col>8</xdr:col>
      <xdr:colOff>19878</xdr:colOff>
      <xdr:row>7</xdr:row>
      <xdr:rowOff>207</xdr:rowOff>
    </xdr:to>
    <xdr:sp macro="" textlink="">
      <xdr:nvSpPr>
        <xdr:cNvPr id="14" name="Rounded Rectangl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/>
      </xdr:nvSpPr>
      <xdr:spPr>
        <a:xfrm>
          <a:off x="2930260" y="1660730"/>
          <a:ext cx="10931514" cy="486329"/>
        </a:xfrm>
        <a:prstGeom prst="roundRect">
          <a:avLst/>
        </a:prstGeom>
        <a:solidFill>
          <a:srgbClr val="002060">
            <a:alpha val="10000"/>
          </a:srgbClr>
        </a:solidFill>
        <a:ln w="28575">
          <a:solidFill>
            <a:srgbClr val="002060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r-TR" sz="1100"/>
        </a:p>
      </xdr:txBody>
    </xdr:sp>
    <xdr:clientData/>
  </xdr:twoCellAnchor>
  <xdr:twoCellAnchor>
    <xdr:from>
      <xdr:col>3</xdr:col>
      <xdr:colOff>4762</xdr:colOff>
      <xdr:row>5</xdr:row>
      <xdr:rowOff>4763</xdr:rowOff>
    </xdr:from>
    <xdr:to>
      <xdr:col>8</xdr:col>
      <xdr:colOff>19878</xdr:colOff>
      <xdr:row>6</xdr:row>
      <xdr:rowOff>4511</xdr:rowOff>
    </xdr:to>
    <xdr:sp macro="" textlink="">
      <xdr:nvSpPr>
        <xdr:cNvPr id="15" name="Rounded Rectangl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/>
      </xdr:nvSpPr>
      <xdr:spPr>
        <a:xfrm>
          <a:off x="2943905" y="1398134"/>
          <a:ext cx="10911716" cy="250120"/>
        </a:xfrm>
        <a:prstGeom prst="roundRect">
          <a:avLst>
            <a:gd name="adj" fmla="val 50000"/>
          </a:avLst>
        </a:prstGeom>
        <a:solidFill>
          <a:srgbClr val="002060">
            <a:alpha val="50000"/>
          </a:srgbClr>
        </a:solidFill>
        <a:ln w="28575">
          <a:solidFill>
            <a:srgbClr val="002060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r-TR" sz="1100"/>
        </a:p>
      </xdr:txBody>
    </xdr:sp>
    <xdr:clientData/>
  </xdr:twoCellAnchor>
  <xdr:twoCellAnchor>
    <xdr:from>
      <xdr:col>2</xdr:col>
      <xdr:colOff>1213945</xdr:colOff>
      <xdr:row>2</xdr:row>
      <xdr:rowOff>16540</xdr:rowOff>
    </xdr:from>
    <xdr:to>
      <xdr:col>6</xdr:col>
      <xdr:colOff>1850</xdr:colOff>
      <xdr:row>2</xdr:row>
      <xdr:rowOff>654819</xdr:rowOff>
    </xdr:to>
    <xdr:sp macro="" textlink="">
      <xdr:nvSpPr>
        <xdr:cNvPr id="16" name="Rounded Rectangle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/>
      </xdr:nvSpPr>
      <xdr:spPr>
        <a:xfrm>
          <a:off x="2433145" y="549940"/>
          <a:ext cx="3618985" cy="638279"/>
        </a:xfrm>
        <a:prstGeom prst="roundRect">
          <a:avLst/>
        </a:prstGeom>
        <a:noFill/>
        <a:ln w="28575">
          <a:solidFill>
            <a:sysClr val="windowText" lastClr="000000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r-TR" sz="1100"/>
        </a:p>
      </xdr:txBody>
    </xdr:sp>
    <xdr:clientData/>
  </xdr:twoCellAnchor>
  <xdr:twoCellAnchor>
    <xdr:from>
      <xdr:col>3</xdr:col>
      <xdr:colOff>1379</xdr:colOff>
      <xdr:row>1</xdr:row>
      <xdr:rowOff>4764</xdr:rowOff>
    </xdr:from>
    <xdr:to>
      <xdr:col>6</xdr:col>
      <xdr:colOff>178</xdr:colOff>
      <xdr:row>2</xdr:row>
      <xdr:rowOff>29</xdr:rowOff>
    </xdr:to>
    <xdr:sp macro="" textlink="">
      <xdr:nvSpPr>
        <xdr:cNvPr id="17" name="Rounded Rectangl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/>
      </xdr:nvSpPr>
      <xdr:spPr>
        <a:xfrm>
          <a:off x="2935079" y="185739"/>
          <a:ext cx="6328162" cy="247678"/>
        </a:xfrm>
        <a:prstGeom prst="roundRect">
          <a:avLst>
            <a:gd name="adj" fmla="val 50000"/>
          </a:avLst>
        </a:prstGeom>
        <a:solidFill>
          <a:schemeClr val="bg1">
            <a:lumMod val="50000"/>
            <a:alpha val="50000"/>
          </a:schemeClr>
        </a:solidFill>
        <a:ln w="28575">
          <a:solidFill>
            <a:sysClr val="windowText" lastClr="000000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r-TR" sz="1100"/>
        </a:p>
      </xdr:txBody>
    </xdr:sp>
    <xdr:clientData/>
  </xdr:twoCellAnchor>
  <xdr:twoCellAnchor>
    <xdr:from>
      <xdr:col>3</xdr:col>
      <xdr:colOff>2095500</xdr:colOff>
      <xdr:row>10</xdr:row>
      <xdr:rowOff>10510</xdr:rowOff>
    </xdr:from>
    <xdr:to>
      <xdr:col>5</xdr:col>
      <xdr:colOff>2096814</xdr:colOff>
      <xdr:row>11</xdr:row>
      <xdr:rowOff>0</xdr:rowOff>
    </xdr:to>
    <xdr:sp macro="" textlink="">
      <xdr:nvSpPr>
        <xdr:cNvPr id="37" name="Rounded Rectangl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/>
      </xdr:nvSpPr>
      <xdr:spPr>
        <a:xfrm>
          <a:off x="5033141" y="2885089"/>
          <a:ext cx="4226473" cy="567559"/>
        </a:xfrm>
        <a:prstGeom prst="roundRect">
          <a:avLst/>
        </a:prstGeom>
        <a:solidFill>
          <a:schemeClr val="bg1">
            <a:lumMod val="50000"/>
            <a:alpha val="10000"/>
          </a:schemeClr>
        </a:solidFill>
        <a:ln w="25400">
          <a:solidFill>
            <a:sysClr val="windowText" lastClr="000000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r-TR" sz="1100"/>
        </a:p>
      </xdr:txBody>
    </xdr:sp>
    <xdr:clientData/>
  </xdr:twoCellAnchor>
  <xdr:twoCellAnchor>
    <xdr:from>
      <xdr:col>2</xdr:col>
      <xdr:colOff>909144</xdr:colOff>
      <xdr:row>9</xdr:row>
      <xdr:rowOff>4764</xdr:rowOff>
    </xdr:from>
    <xdr:to>
      <xdr:col>5</xdr:col>
      <xdr:colOff>2107324</xdr:colOff>
      <xdr:row>10</xdr:row>
      <xdr:rowOff>5075</xdr:rowOff>
    </xdr:to>
    <xdr:sp macro="" textlink="">
      <xdr:nvSpPr>
        <xdr:cNvPr id="38" name="Rounded Rectangle 37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/>
      </xdr:nvSpPr>
      <xdr:spPr>
        <a:xfrm>
          <a:off x="2937641" y="2627095"/>
          <a:ext cx="6332483" cy="252559"/>
        </a:xfrm>
        <a:prstGeom prst="roundRect">
          <a:avLst>
            <a:gd name="adj" fmla="val 50000"/>
          </a:avLst>
        </a:prstGeom>
        <a:solidFill>
          <a:schemeClr val="bg1">
            <a:lumMod val="50000"/>
            <a:alpha val="50000"/>
          </a:schemeClr>
        </a:solidFill>
        <a:ln w="28575">
          <a:solidFill>
            <a:sysClr val="windowText" lastClr="000000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r-TR" sz="1100"/>
        </a:p>
      </xdr:txBody>
    </xdr:sp>
    <xdr:clientData/>
  </xdr:twoCellAnchor>
  <xdr:twoCellAnchor>
    <xdr:from>
      <xdr:col>3</xdr:col>
      <xdr:colOff>2891</xdr:colOff>
      <xdr:row>10</xdr:row>
      <xdr:rowOff>10511</xdr:rowOff>
    </xdr:from>
    <xdr:to>
      <xdr:col>3</xdr:col>
      <xdr:colOff>2095500</xdr:colOff>
      <xdr:row>11</xdr:row>
      <xdr:rowOff>0</xdr:rowOff>
    </xdr:to>
    <xdr:sp macro="" textlink="">
      <xdr:nvSpPr>
        <xdr:cNvPr id="39" name="Rounded Rectangle 38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/>
      </xdr:nvSpPr>
      <xdr:spPr>
        <a:xfrm>
          <a:off x="2936591" y="2624171"/>
          <a:ext cx="2092609" cy="568609"/>
        </a:xfrm>
        <a:prstGeom prst="roundRect">
          <a:avLst/>
        </a:prstGeom>
        <a:noFill/>
        <a:ln w="25400">
          <a:solidFill>
            <a:sysClr val="windowText" lastClr="000000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tr-TR" sz="1100"/>
            <a:t>30</a:t>
          </a:r>
        </a:p>
      </xdr:txBody>
    </xdr:sp>
    <xdr:clientData/>
  </xdr:twoCellAnchor>
  <xdr:twoCellAnchor>
    <xdr:from>
      <xdr:col>6</xdr:col>
      <xdr:colOff>124865</xdr:colOff>
      <xdr:row>8</xdr:row>
      <xdr:rowOff>106295</xdr:rowOff>
    </xdr:from>
    <xdr:to>
      <xdr:col>8</xdr:col>
      <xdr:colOff>54428</xdr:colOff>
      <xdr:row>16</xdr:row>
      <xdr:rowOff>293915</xdr:rowOff>
    </xdr:to>
    <xdr:sp macro="" textlink="">
      <xdr:nvSpPr>
        <xdr:cNvPr id="44" name="InfoText" hidden="1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 txBox="1"/>
      </xdr:nvSpPr>
      <xdr:spPr>
        <a:xfrm>
          <a:off x="9399494" y="2435838"/>
          <a:ext cx="4490677" cy="3975848"/>
        </a:xfrm>
        <a:prstGeom prst="rect">
          <a:avLst/>
        </a:prstGeom>
        <a:ln>
          <a:solidFill>
            <a:srgbClr val="002060"/>
          </a:solidFill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fontAlgn="base"/>
          <a:r>
            <a:rPr lang="tr-TR" sz="1200" b="1" i="0">
              <a:solidFill>
                <a:srgbClr val="002060"/>
              </a:solidFill>
              <a:effectLst/>
              <a:latin typeface="Microsoft PhagsPa" panose="020B0502040204020203" pitchFamily="34" charset="0"/>
              <a:ea typeface="+mn-ea"/>
              <a:cs typeface="+mn-cs"/>
            </a:rPr>
            <a:t>Bireysel Taşıt Kredilerinde BDDK uygulamaları</a:t>
          </a:r>
          <a:r>
            <a:rPr lang="tr-TR" sz="1200" b="1" i="0" baseline="0">
              <a:solidFill>
                <a:srgbClr val="002060"/>
              </a:solidFill>
              <a:effectLst/>
              <a:latin typeface="Microsoft PhagsPa" panose="020B0502040204020203" pitchFamily="34" charset="0"/>
              <a:ea typeface="+mn-ea"/>
              <a:cs typeface="+mn-cs"/>
            </a:rPr>
            <a:t> gereği:</a:t>
          </a:r>
        </a:p>
        <a:p>
          <a:pPr fontAlgn="base"/>
          <a:endParaRPr lang="tr-TR" sz="1200" b="1" i="0" baseline="0">
            <a:solidFill>
              <a:srgbClr val="002060"/>
            </a:solidFill>
            <a:effectLst/>
            <a:latin typeface="Microsoft PhagsPa" panose="020B0502040204020203" pitchFamily="34" charset="0"/>
            <a:ea typeface="+mn-ea"/>
            <a:cs typeface="+mn-cs"/>
          </a:endParaRPr>
        </a:p>
        <a:p>
          <a:pPr fontAlgn="base"/>
          <a:r>
            <a:rPr lang="tr-TR" sz="1200" b="1" i="0">
              <a:solidFill>
                <a:srgbClr val="002060"/>
              </a:solidFill>
              <a:effectLst/>
              <a:latin typeface="Microsoft PhagsPa" panose="020B0502040204020203" pitchFamily="34" charset="0"/>
              <a:ea typeface="+mn-ea"/>
              <a:cs typeface="+mn-cs"/>
            </a:rPr>
            <a:t>sıfır araçlar </a:t>
          </a:r>
          <a:r>
            <a:rPr lang="tr-TR" sz="1200" b="0" i="0">
              <a:solidFill>
                <a:srgbClr val="002060"/>
              </a:solidFill>
              <a:effectLst/>
              <a:latin typeface="Microsoft PhagsPa" panose="020B0502040204020203" pitchFamily="34" charset="0"/>
              <a:ea typeface="+mn-ea"/>
              <a:cs typeface="+mn-cs"/>
            </a:rPr>
            <a:t>için aracın </a:t>
          </a:r>
          <a:r>
            <a:rPr lang="tr-TR" sz="1200" b="1" i="0">
              <a:solidFill>
                <a:srgbClr val="002060"/>
              </a:solidFill>
              <a:effectLst/>
              <a:latin typeface="Microsoft PhagsPa" panose="020B0502040204020203" pitchFamily="34" charset="0"/>
              <a:ea typeface="+mn-ea"/>
              <a:cs typeface="+mn-cs"/>
            </a:rPr>
            <a:t>kesin fatura değeri,</a:t>
          </a:r>
        </a:p>
        <a:p>
          <a:pPr fontAlgn="base"/>
          <a:endParaRPr lang="tr-TR" sz="1200" b="1" i="0">
            <a:solidFill>
              <a:srgbClr val="002060"/>
            </a:solidFill>
            <a:effectLst/>
            <a:latin typeface="Microsoft PhagsPa" panose="020B0502040204020203" pitchFamily="34" charset="0"/>
            <a:ea typeface="+mn-ea"/>
            <a:cs typeface="+mn-cs"/>
          </a:endParaRPr>
        </a:p>
        <a:p>
          <a:pPr fontAlgn="base"/>
          <a:r>
            <a:rPr lang="tr-TR" sz="1200" b="1" i="0">
              <a:solidFill>
                <a:srgbClr val="002060"/>
              </a:solidFill>
              <a:effectLst/>
              <a:latin typeface="Microsoft PhagsPa" panose="020B0502040204020203" pitchFamily="34" charset="0"/>
              <a:ea typeface="+mn-ea"/>
              <a:cs typeface="+mn-cs"/>
            </a:rPr>
            <a:t>İkinci el araçlar </a:t>
          </a:r>
          <a:r>
            <a:rPr lang="tr-TR" sz="1200" b="0" i="0">
              <a:solidFill>
                <a:srgbClr val="002060"/>
              </a:solidFill>
              <a:effectLst/>
              <a:latin typeface="Microsoft PhagsPa" panose="020B0502040204020203" pitchFamily="34" charset="0"/>
              <a:ea typeface="+mn-ea"/>
              <a:cs typeface="+mn-cs"/>
            </a:rPr>
            <a:t>için ise aracın </a:t>
          </a:r>
          <a:r>
            <a:rPr lang="tr-TR" sz="1200" b="1" i="0">
              <a:solidFill>
                <a:srgbClr val="002060"/>
              </a:solidFill>
              <a:effectLst/>
              <a:latin typeface="Microsoft PhagsPa" panose="020B0502040204020203" pitchFamily="34" charset="0"/>
              <a:ea typeface="+mn-ea"/>
              <a:cs typeface="+mn-cs"/>
            </a:rPr>
            <a:t>kasko değeri,</a:t>
          </a:r>
        </a:p>
        <a:p>
          <a:pPr fontAlgn="base"/>
          <a:endParaRPr lang="tr-TR" sz="1200" b="1" i="0">
            <a:solidFill>
              <a:srgbClr val="002060"/>
            </a:solidFill>
            <a:effectLst/>
            <a:latin typeface="Microsoft PhagsPa" panose="020B0502040204020203" pitchFamily="34" charset="0"/>
            <a:ea typeface="+mn-ea"/>
            <a:cs typeface="+mn-cs"/>
          </a:endParaRPr>
        </a:p>
        <a:p>
          <a:pPr fontAlgn="base"/>
          <a:r>
            <a:rPr lang="tr-TR" sz="1200" b="1" i="0">
              <a:solidFill>
                <a:srgbClr val="002060"/>
              </a:solidFill>
              <a:effectLst/>
              <a:latin typeface="Microsoft PhagsPa" panose="020B0502040204020203" pitchFamily="34" charset="0"/>
              <a:ea typeface="+mn-ea"/>
              <a:cs typeface="+mn-cs"/>
            </a:rPr>
            <a:t>0-400.000 TL </a:t>
          </a:r>
          <a:r>
            <a:rPr lang="tr-TR" sz="1200" b="0" i="0">
              <a:solidFill>
                <a:srgbClr val="002060"/>
              </a:solidFill>
              <a:effectLst/>
              <a:latin typeface="Microsoft PhagsPa" panose="020B0502040204020203" pitchFamily="34" charset="0"/>
              <a:ea typeface="+mn-ea"/>
              <a:cs typeface="+mn-cs"/>
            </a:rPr>
            <a:t>aralığında ise tutarın </a:t>
          </a:r>
          <a:r>
            <a:rPr lang="tr-TR" sz="1200" b="1" i="0">
              <a:solidFill>
                <a:srgbClr val="002060"/>
              </a:solidFill>
              <a:effectLst/>
              <a:latin typeface="Microsoft PhagsPa" panose="020B0502040204020203" pitchFamily="34" charset="0"/>
              <a:ea typeface="+mn-ea"/>
              <a:cs typeface="+mn-cs"/>
            </a:rPr>
            <a:t>%70</a:t>
          </a:r>
          <a:r>
            <a:rPr lang="tr-TR" sz="1200" b="0" i="0">
              <a:solidFill>
                <a:srgbClr val="002060"/>
              </a:solidFill>
              <a:effectLst/>
              <a:latin typeface="Microsoft PhagsPa" panose="020B0502040204020203" pitchFamily="34" charset="0"/>
              <a:ea typeface="+mn-ea"/>
              <a:cs typeface="+mn-cs"/>
            </a:rPr>
            <a:t>’ine kadar ve maksimum </a:t>
          </a:r>
          <a:r>
            <a:rPr lang="tr-TR" sz="1200" b="1" i="0">
              <a:solidFill>
                <a:srgbClr val="002060"/>
              </a:solidFill>
              <a:effectLst/>
              <a:latin typeface="Microsoft PhagsPa" panose="020B0502040204020203" pitchFamily="34" charset="0"/>
              <a:ea typeface="+mn-ea"/>
              <a:cs typeface="+mn-cs"/>
            </a:rPr>
            <a:t>48 ay vade </a:t>
          </a:r>
          <a:r>
            <a:rPr lang="tr-TR" sz="1200" b="0" i="0">
              <a:solidFill>
                <a:srgbClr val="002060"/>
              </a:solidFill>
              <a:effectLst/>
              <a:latin typeface="Microsoft PhagsPa" panose="020B0502040204020203" pitchFamily="34" charset="0"/>
              <a:ea typeface="+mn-ea"/>
              <a:cs typeface="+mn-cs"/>
            </a:rPr>
            <a:t>ile,</a:t>
          </a:r>
        </a:p>
        <a:p>
          <a:pPr fontAlgn="base"/>
          <a:endParaRPr lang="tr-TR" sz="1200" b="0" i="0">
            <a:solidFill>
              <a:srgbClr val="002060"/>
            </a:solidFill>
            <a:effectLst/>
            <a:latin typeface="Microsoft PhagsPa" panose="020B0502040204020203" pitchFamily="34" charset="0"/>
            <a:ea typeface="+mn-ea"/>
            <a:cs typeface="+mn-cs"/>
          </a:endParaRPr>
        </a:p>
        <a:p>
          <a:pPr fontAlgn="base"/>
          <a:r>
            <a:rPr lang="tr-TR" sz="1200" b="1" i="0">
              <a:solidFill>
                <a:srgbClr val="002060"/>
              </a:solidFill>
              <a:effectLst/>
              <a:latin typeface="Microsoft PhagsPa" panose="020B0502040204020203" pitchFamily="34" charset="0"/>
              <a:ea typeface="+mn-ea"/>
              <a:cs typeface="+mn-cs"/>
            </a:rPr>
            <a:t>400.000,01-800.000 TL </a:t>
          </a:r>
          <a:r>
            <a:rPr lang="tr-TR" sz="1200" b="0" i="0">
              <a:solidFill>
                <a:srgbClr val="002060"/>
              </a:solidFill>
              <a:effectLst/>
              <a:latin typeface="Microsoft PhagsPa" panose="020B0502040204020203" pitchFamily="34" charset="0"/>
              <a:ea typeface="+mn-ea"/>
              <a:cs typeface="+mn-cs"/>
            </a:rPr>
            <a:t>aralığında ise tutarın </a:t>
          </a:r>
          <a:r>
            <a:rPr lang="tr-TR" sz="1200" b="1" i="0">
              <a:solidFill>
                <a:srgbClr val="002060"/>
              </a:solidFill>
              <a:effectLst/>
              <a:latin typeface="Microsoft PhagsPa" panose="020B0502040204020203" pitchFamily="34" charset="0"/>
              <a:ea typeface="+mn-ea"/>
              <a:cs typeface="+mn-cs"/>
            </a:rPr>
            <a:t>%50</a:t>
          </a:r>
          <a:r>
            <a:rPr lang="tr-TR" sz="1200" b="0" i="0">
              <a:solidFill>
                <a:srgbClr val="002060"/>
              </a:solidFill>
              <a:effectLst/>
              <a:latin typeface="Microsoft PhagsPa" panose="020B0502040204020203" pitchFamily="34" charset="0"/>
              <a:ea typeface="+mn-ea"/>
              <a:cs typeface="+mn-cs"/>
            </a:rPr>
            <a:t>’sine kadar ve maksimum </a:t>
          </a:r>
          <a:r>
            <a:rPr lang="tr-TR" sz="1200" b="1" i="0">
              <a:solidFill>
                <a:srgbClr val="002060"/>
              </a:solidFill>
              <a:effectLst/>
              <a:latin typeface="Microsoft PhagsPa" panose="020B0502040204020203" pitchFamily="34" charset="0"/>
              <a:ea typeface="+mn-ea"/>
              <a:cs typeface="+mn-cs"/>
            </a:rPr>
            <a:t>36 ay vade </a:t>
          </a:r>
          <a:r>
            <a:rPr lang="tr-TR" sz="1200" b="0" i="0">
              <a:solidFill>
                <a:srgbClr val="002060"/>
              </a:solidFill>
              <a:effectLst/>
              <a:latin typeface="Microsoft PhagsPa" panose="020B0502040204020203" pitchFamily="34" charset="0"/>
              <a:ea typeface="+mn-ea"/>
              <a:cs typeface="+mn-cs"/>
            </a:rPr>
            <a:t>ile,</a:t>
          </a:r>
        </a:p>
        <a:p>
          <a:pPr fontAlgn="base"/>
          <a:endParaRPr lang="tr-TR" sz="1200" b="0" i="0">
            <a:solidFill>
              <a:srgbClr val="002060"/>
            </a:solidFill>
            <a:effectLst/>
            <a:latin typeface="Microsoft PhagsPa" panose="020B0502040204020203" pitchFamily="34" charset="0"/>
            <a:ea typeface="+mn-ea"/>
            <a:cs typeface="+mn-cs"/>
          </a:endParaRPr>
        </a:p>
        <a:p>
          <a:pPr fontAlgn="base"/>
          <a:r>
            <a:rPr lang="tr-TR" sz="1200" b="1" i="0">
              <a:solidFill>
                <a:srgbClr val="002060"/>
              </a:solidFill>
              <a:effectLst/>
              <a:latin typeface="Microsoft PhagsPa" panose="020B0502040204020203" pitchFamily="34" charset="0"/>
              <a:ea typeface="+mn-ea"/>
              <a:cs typeface="+mn-cs"/>
            </a:rPr>
            <a:t>800.000,01-1.200.000 TL </a:t>
          </a:r>
          <a:r>
            <a:rPr lang="tr-TR" sz="1200" b="0" i="0">
              <a:solidFill>
                <a:srgbClr val="002060"/>
              </a:solidFill>
              <a:effectLst/>
              <a:latin typeface="Microsoft PhagsPa" panose="020B0502040204020203" pitchFamily="34" charset="0"/>
              <a:ea typeface="+mn-ea"/>
              <a:cs typeface="+mn-cs"/>
            </a:rPr>
            <a:t>aralığında ise tutarın </a:t>
          </a:r>
          <a:r>
            <a:rPr lang="tr-TR" sz="1200" b="1" i="0">
              <a:solidFill>
                <a:srgbClr val="002060"/>
              </a:solidFill>
              <a:effectLst/>
              <a:latin typeface="Microsoft PhagsPa" panose="020B0502040204020203" pitchFamily="34" charset="0"/>
              <a:ea typeface="+mn-ea"/>
              <a:cs typeface="+mn-cs"/>
            </a:rPr>
            <a:t>%30</a:t>
          </a:r>
          <a:r>
            <a:rPr lang="tr-TR" sz="1200" b="0" i="0">
              <a:solidFill>
                <a:srgbClr val="002060"/>
              </a:solidFill>
              <a:effectLst/>
              <a:latin typeface="Microsoft PhagsPa" panose="020B0502040204020203" pitchFamily="34" charset="0"/>
              <a:ea typeface="+mn-ea"/>
              <a:cs typeface="+mn-cs"/>
            </a:rPr>
            <a:t>’una kadar ve maksimum </a:t>
          </a:r>
          <a:r>
            <a:rPr lang="tr-TR" sz="1200" b="1" i="0">
              <a:solidFill>
                <a:srgbClr val="002060"/>
              </a:solidFill>
              <a:effectLst/>
              <a:latin typeface="Microsoft PhagsPa" panose="020B0502040204020203" pitchFamily="34" charset="0"/>
              <a:ea typeface="+mn-ea"/>
              <a:cs typeface="+mn-cs"/>
            </a:rPr>
            <a:t>24 ay vade </a:t>
          </a:r>
          <a:r>
            <a:rPr lang="tr-TR" sz="1200" b="0" i="0">
              <a:solidFill>
                <a:srgbClr val="002060"/>
              </a:solidFill>
              <a:effectLst/>
              <a:latin typeface="Microsoft PhagsPa" panose="020B0502040204020203" pitchFamily="34" charset="0"/>
              <a:ea typeface="+mn-ea"/>
              <a:cs typeface="+mn-cs"/>
            </a:rPr>
            <a:t>ile,</a:t>
          </a:r>
        </a:p>
        <a:p>
          <a:pPr fontAlgn="base"/>
          <a:endParaRPr lang="tr-TR" sz="1200" b="0" i="0">
            <a:solidFill>
              <a:srgbClr val="002060"/>
            </a:solidFill>
            <a:effectLst/>
            <a:latin typeface="Microsoft PhagsPa" panose="020B0502040204020203" pitchFamily="34" charset="0"/>
            <a:ea typeface="+mn-ea"/>
            <a:cs typeface="+mn-cs"/>
          </a:endParaRPr>
        </a:p>
        <a:p>
          <a:pPr fontAlgn="base"/>
          <a:r>
            <a:rPr lang="tr-TR" sz="1200" b="1" i="0">
              <a:solidFill>
                <a:srgbClr val="002060"/>
              </a:solidFill>
              <a:effectLst/>
              <a:latin typeface="Microsoft PhagsPa" panose="020B0502040204020203" pitchFamily="34" charset="0"/>
              <a:ea typeface="+mn-ea"/>
              <a:cs typeface="+mn-cs"/>
            </a:rPr>
            <a:t>1.200.000,01-2.000.000 TL </a:t>
          </a:r>
          <a:r>
            <a:rPr lang="tr-TR" sz="1200" b="0" i="0">
              <a:solidFill>
                <a:srgbClr val="002060"/>
              </a:solidFill>
              <a:effectLst/>
              <a:latin typeface="Microsoft PhagsPa" panose="020B0502040204020203" pitchFamily="34" charset="0"/>
              <a:ea typeface="+mn-ea"/>
              <a:cs typeface="+mn-cs"/>
            </a:rPr>
            <a:t>aralığında ise tutarın </a:t>
          </a:r>
          <a:r>
            <a:rPr lang="tr-TR" sz="1200" b="1" i="0">
              <a:solidFill>
                <a:srgbClr val="002060"/>
              </a:solidFill>
              <a:effectLst/>
              <a:latin typeface="Microsoft PhagsPa" panose="020B0502040204020203" pitchFamily="34" charset="0"/>
              <a:ea typeface="+mn-ea"/>
              <a:cs typeface="+mn-cs"/>
            </a:rPr>
            <a:t>%20</a:t>
          </a:r>
          <a:r>
            <a:rPr lang="tr-TR" sz="1200" b="0" i="0">
              <a:solidFill>
                <a:srgbClr val="002060"/>
              </a:solidFill>
              <a:effectLst/>
              <a:latin typeface="Microsoft PhagsPa" panose="020B0502040204020203" pitchFamily="34" charset="0"/>
              <a:ea typeface="+mn-ea"/>
              <a:cs typeface="+mn-cs"/>
            </a:rPr>
            <a:t>’si ne kadar ve maksimum </a:t>
          </a:r>
          <a:r>
            <a:rPr lang="tr-TR" sz="1200" b="1" i="0">
              <a:solidFill>
                <a:srgbClr val="002060"/>
              </a:solidFill>
              <a:effectLst/>
              <a:latin typeface="Microsoft PhagsPa" panose="020B0502040204020203" pitchFamily="34" charset="0"/>
              <a:ea typeface="+mn-ea"/>
              <a:cs typeface="+mn-cs"/>
            </a:rPr>
            <a:t>12 ay vade </a:t>
          </a:r>
          <a:r>
            <a:rPr lang="tr-TR" sz="1200" b="0" i="0">
              <a:solidFill>
                <a:srgbClr val="002060"/>
              </a:solidFill>
              <a:effectLst/>
              <a:latin typeface="Microsoft PhagsPa" panose="020B0502040204020203" pitchFamily="34" charset="0"/>
              <a:ea typeface="+mn-ea"/>
              <a:cs typeface="+mn-cs"/>
            </a:rPr>
            <a:t>ile taşıt kredisi kullandırılabilmektedir.</a:t>
          </a:r>
        </a:p>
      </xdr:txBody>
    </xdr:sp>
    <xdr:clientData/>
  </xdr:twoCellAnchor>
  <xdr:twoCellAnchor editAs="oneCell">
    <xdr:from>
      <xdr:col>3</xdr:col>
      <xdr:colOff>41443</xdr:colOff>
      <xdr:row>5</xdr:row>
      <xdr:rowOff>33579</xdr:rowOff>
    </xdr:from>
    <xdr:to>
      <xdr:col>3</xdr:col>
      <xdr:colOff>232474</xdr:colOff>
      <xdr:row>5</xdr:row>
      <xdr:rowOff>224610</xdr:rowOff>
    </xdr:to>
    <xdr:pic>
      <xdr:nvPicPr>
        <xdr:cNvPr id="45" name="Picture 44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75789" y="1420677"/>
          <a:ext cx="191031" cy="191031"/>
        </a:xfrm>
        <a:prstGeom prst="rect">
          <a:avLst/>
        </a:prstGeom>
      </xdr:spPr>
    </xdr:pic>
    <xdr:clientData/>
  </xdr:twoCellAnchor>
  <xdr:twoCellAnchor editAs="oneCell">
    <xdr:from>
      <xdr:col>0</xdr:col>
      <xdr:colOff>487680</xdr:colOff>
      <xdr:row>1</xdr:row>
      <xdr:rowOff>38100</xdr:rowOff>
    </xdr:from>
    <xdr:to>
      <xdr:col>1</xdr:col>
      <xdr:colOff>876459</xdr:colOff>
      <xdr:row>2</xdr:row>
      <xdr:rowOff>264864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7680" y="220980"/>
          <a:ext cx="1440339" cy="478224"/>
        </a:xfrm>
        <a:prstGeom prst="rect">
          <a:avLst/>
        </a:prstGeom>
      </xdr:spPr>
    </xdr:pic>
    <xdr:clientData/>
  </xdr:twoCellAnchor>
  <xdr:twoCellAnchor>
    <xdr:from>
      <xdr:col>6</xdr:col>
      <xdr:colOff>152400</xdr:colOff>
      <xdr:row>8</xdr:row>
      <xdr:rowOff>390525</xdr:rowOff>
    </xdr:from>
    <xdr:to>
      <xdr:col>9</xdr:col>
      <xdr:colOff>0</xdr:colOff>
      <xdr:row>15</xdr:row>
      <xdr:rowOff>419100</xdr:rowOff>
    </xdr:to>
    <xdr:sp macro="" textlink="">
      <xdr:nvSpPr>
        <xdr:cNvPr id="24" name="InfoText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 txBox="1"/>
      </xdr:nvSpPr>
      <xdr:spPr>
        <a:xfrm>
          <a:off x="9410700" y="2724150"/>
          <a:ext cx="5010150" cy="3400425"/>
        </a:xfrm>
        <a:prstGeom prst="rect">
          <a:avLst/>
        </a:prstGeom>
        <a:ln>
          <a:solidFill>
            <a:srgbClr val="002060"/>
          </a:solidFill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fontAlgn="base"/>
          <a:r>
            <a:rPr lang="tr-TR" sz="1100" b="1" i="0">
              <a:solidFill>
                <a:srgbClr val="002060"/>
              </a:solidFill>
              <a:effectLst/>
              <a:latin typeface="Microsoft PhagsPa" panose="020B0502040204020203" pitchFamily="34" charset="0"/>
              <a:ea typeface="+mn-ea"/>
              <a:cs typeface="+mn-cs"/>
            </a:rPr>
            <a:t>Bireysel Taşıt Kredilerinde BDDK uygulamaları</a:t>
          </a:r>
          <a:r>
            <a:rPr lang="tr-TR" sz="1100" b="1" i="0" baseline="0">
              <a:solidFill>
                <a:srgbClr val="002060"/>
              </a:solidFill>
              <a:effectLst/>
              <a:latin typeface="Microsoft PhagsPa" panose="020B0502040204020203" pitchFamily="34" charset="0"/>
              <a:ea typeface="+mn-ea"/>
              <a:cs typeface="+mn-cs"/>
            </a:rPr>
            <a:t> gereği:</a:t>
          </a:r>
        </a:p>
        <a:p>
          <a:pPr fontAlgn="base"/>
          <a:endParaRPr lang="tr-TR" sz="1100" b="1" i="0" baseline="0">
            <a:solidFill>
              <a:srgbClr val="002060"/>
            </a:solidFill>
            <a:effectLst/>
            <a:latin typeface="Microsoft PhagsPa" panose="020B0502040204020203" pitchFamily="34" charset="0"/>
            <a:ea typeface="+mn-ea"/>
            <a:cs typeface="+mn-cs"/>
          </a:endParaRPr>
        </a:p>
        <a:p>
          <a:pPr fontAlgn="base"/>
          <a:r>
            <a:rPr lang="tr-TR" sz="1100" b="1" i="0">
              <a:solidFill>
                <a:srgbClr val="002060"/>
              </a:solidFill>
              <a:effectLst/>
              <a:latin typeface="Microsoft PhagsPa" panose="020B0502040204020203" pitchFamily="34" charset="0"/>
              <a:ea typeface="+mn-ea"/>
              <a:cs typeface="+mn-cs"/>
            </a:rPr>
            <a:t>sıfır araçlar </a:t>
          </a:r>
          <a:r>
            <a:rPr lang="tr-TR" sz="1100" b="0" i="0">
              <a:solidFill>
                <a:srgbClr val="002060"/>
              </a:solidFill>
              <a:effectLst/>
              <a:latin typeface="Microsoft PhagsPa" panose="020B0502040204020203" pitchFamily="34" charset="0"/>
              <a:ea typeface="+mn-ea"/>
              <a:cs typeface="+mn-cs"/>
            </a:rPr>
            <a:t>için aracın </a:t>
          </a:r>
          <a:r>
            <a:rPr lang="tr-TR" sz="1100" b="1" i="0">
              <a:solidFill>
                <a:srgbClr val="002060"/>
              </a:solidFill>
              <a:effectLst/>
              <a:latin typeface="Microsoft PhagsPa" panose="020B0502040204020203" pitchFamily="34" charset="0"/>
              <a:ea typeface="+mn-ea"/>
              <a:cs typeface="+mn-cs"/>
            </a:rPr>
            <a:t>kesin fatura değeri,</a:t>
          </a:r>
        </a:p>
        <a:p>
          <a:pPr fontAlgn="base"/>
          <a:endParaRPr lang="tr-TR" sz="1100" b="1" i="0">
            <a:solidFill>
              <a:srgbClr val="002060"/>
            </a:solidFill>
            <a:effectLst/>
            <a:latin typeface="Microsoft PhagsPa" panose="020B0502040204020203" pitchFamily="34" charset="0"/>
            <a:ea typeface="+mn-ea"/>
            <a:cs typeface="+mn-cs"/>
          </a:endParaRPr>
        </a:p>
        <a:p>
          <a:pPr fontAlgn="base"/>
          <a:r>
            <a:rPr lang="tr-TR" sz="1100" b="1" i="0">
              <a:solidFill>
                <a:srgbClr val="002060"/>
              </a:solidFill>
              <a:effectLst/>
              <a:latin typeface="Microsoft PhagsPa" panose="020B0502040204020203" pitchFamily="34" charset="0"/>
              <a:ea typeface="+mn-ea"/>
              <a:cs typeface="+mn-cs"/>
            </a:rPr>
            <a:t>İkinci el araçlar </a:t>
          </a:r>
          <a:r>
            <a:rPr lang="tr-TR" sz="1100" b="0" i="0">
              <a:solidFill>
                <a:srgbClr val="002060"/>
              </a:solidFill>
              <a:effectLst/>
              <a:latin typeface="Microsoft PhagsPa" panose="020B0502040204020203" pitchFamily="34" charset="0"/>
              <a:ea typeface="+mn-ea"/>
              <a:cs typeface="+mn-cs"/>
            </a:rPr>
            <a:t>için ise aracın </a:t>
          </a:r>
          <a:r>
            <a:rPr lang="tr-TR" sz="1100" b="1" i="0">
              <a:solidFill>
                <a:srgbClr val="002060"/>
              </a:solidFill>
              <a:effectLst/>
              <a:latin typeface="Microsoft PhagsPa" panose="020B0502040204020203" pitchFamily="34" charset="0"/>
              <a:ea typeface="+mn-ea"/>
              <a:cs typeface="+mn-cs"/>
            </a:rPr>
            <a:t>kasko değeri,</a:t>
          </a:r>
        </a:p>
        <a:p>
          <a:pPr fontAlgn="base"/>
          <a:endParaRPr lang="tr-TR" sz="1100" b="1" i="0">
            <a:solidFill>
              <a:srgbClr val="002060"/>
            </a:solidFill>
            <a:effectLst/>
            <a:latin typeface="Microsoft PhagsPa" panose="020B0502040204020203" pitchFamily="34" charset="0"/>
            <a:ea typeface="+mn-ea"/>
            <a:cs typeface="+mn-cs"/>
          </a:endParaRPr>
        </a:p>
        <a:p>
          <a:pPr fontAlgn="base"/>
          <a:r>
            <a:rPr lang="tr-TR" sz="1100" b="1" i="0">
              <a:solidFill>
                <a:srgbClr val="002060"/>
              </a:solidFill>
              <a:effectLst/>
              <a:latin typeface="Microsoft PhagsPa" panose="020B0502040204020203" pitchFamily="34" charset="0"/>
              <a:ea typeface="+mn-ea"/>
              <a:cs typeface="+mn-cs"/>
            </a:rPr>
            <a:t>0-400.000 TL </a:t>
          </a:r>
          <a:r>
            <a:rPr lang="tr-TR" sz="1100" b="0" i="0">
              <a:solidFill>
                <a:srgbClr val="002060"/>
              </a:solidFill>
              <a:effectLst/>
              <a:latin typeface="Microsoft PhagsPa" panose="020B0502040204020203" pitchFamily="34" charset="0"/>
              <a:ea typeface="+mn-ea"/>
              <a:cs typeface="+mn-cs"/>
            </a:rPr>
            <a:t>aralığında ise tutarın </a:t>
          </a:r>
          <a:r>
            <a:rPr lang="tr-TR" sz="1100" b="1" i="0">
              <a:solidFill>
                <a:srgbClr val="002060"/>
              </a:solidFill>
              <a:effectLst/>
              <a:latin typeface="Microsoft PhagsPa" panose="020B0502040204020203" pitchFamily="34" charset="0"/>
              <a:ea typeface="+mn-ea"/>
              <a:cs typeface="+mn-cs"/>
            </a:rPr>
            <a:t>%70</a:t>
          </a:r>
          <a:r>
            <a:rPr lang="tr-TR" sz="1100" b="0" i="0">
              <a:solidFill>
                <a:srgbClr val="002060"/>
              </a:solidFill>
              <a:effectLst/>
              <a:latin typeface="Microsoft PhagsPa" panose="020B0502040204020203" pitchFamily="34" charset="0"/>
              <a:ea typeface="+mn-ea"/>
              <a:cs typeface="+mn-cs"/>
            </a:rPr>
            <a:t>’ine kadar ve maksimum </a:t>
          </a:r>
          <a:r>
            <a:rPr lang="tr-TR" sz="1100" b="1" i="0">
              <a:solidFill>
                <a:srgbClr val="002060"/>
              </a:solidFill>
              <a:effectLst/>
              <a:latin typeface="Microsoft PhagsPa" panose="020B0502040204020203" pitchFamily="34" charset="0"/>
              <a:ea typeface="+mn-ea"/>
              <a:cs typeface="+mn-cs"/>
            </a:rPr>
            <a:t>48 ay vade </a:t>
          </a:r>
          <a:r>
            <a:rPr lang="tr-TR" sz="1100" b="0" i="0">
              <a:solidFill>
                <a:srgbClr val="002060"/>
              </a:solidFill>
              <a:effectLst/>
              <a:latin typeface="Microsoft PhagsPa" panose="020B0502040204020203" pitchFamily="34" charset="0"/>
              <a:ea typeface="+mn-ea"/>
              <a:cs typeface="+mn-cs"/>
            </a:rPr>
            <a:t>ile,</a:t>
          </a:r>
        </a:p>
        <a:p>
          <a:pPr fontAlgn="base"/>
          <a:endParaRPr lang="tr-TR" sz="1100" b="0" i="0">
            <a:solidFill>
              <a:srgbClr val="002060"/>
            </a:solidFill>
            <a:effectLst/>
            <a:latin typeface="Microsoft PhagsPa" panose="020B0502040204020203" pitchFamily="34" charset="0"/>
            <a:ea typeface="+mn-ea"/>
            <a:cs typeface="+mn-cs"/>
          </a:endParaRPr>
        </a:p>
        <a:p>
          <a:pPr fontAlgn="base"/>
          <a:r>
            <a:rPr lang="tr-TR" sz="1100" b="1" i="0">
              <a:solidFill>
                <a:srgbClr val="002060"/>
              </a:solidFill>
              <a:effectLst/>
              <a:latin typeface="Microsoft PhagsPa" panose="020B0502040204020203" pitchFamily="34" charset="0"/>
              <a:ea typeface="+mn-ea"/>
              <a:cs typeface="+mn-cs"/>
            </a:rPr>
            <a:t>400.000,01-800.000 TL </a:t>
          </a:r>
          <a:r>
            <a:rPr lang="tr-TR" sz="1100" b="0" i="0">
              <a:solidFill>
                <a:srgbClr val="002060"/>
              </a:solidFill>
              <a:effectLst/>
              <a:latin typeface="Microsoft PhagsPa" panose="020B0502040204020203" pitchFamily="34" charset="0"/>
              <a:ea typeface="+mn-ea"/>
              <a:cs typeface="+mn-cs"/>
            </a:rPr>
            <a:t>aralığında ise tutarın </a:t>
          </a:r>
          <a:r>
            <a:rPr lang="tr-TR" sz="1100" b="1" i="0">
              <a:solidFill>
                <a:srgbClr val="002060"/>
              </a:solidFill>
              <a:effectLst/>
              <a:latin typeface="Microsoft PhagsPa" panose="020B0502040204020203" pitchFamily="34" charset="0"/>
              <a:ea typeface="+mn-ea"/>
              <a:cs typeface="+mn-cs"/>
            </a:rPr>
            <a:t>%50</a:t>
          </a:r>
          <a:r>
            <a:rPr lang="tr-TR" sz="1100" b="0" i="0">
              <a:solidFill>
                <a:srgbClr val="002060"/>
              </a:solidFill>
              <a:effectLst/>
              <a:latin typeface="Microsoft PhagsPa" panose="020B0502040204020203" pitchFamily="34" charset="0"/>
              <a:ea typeface="+mn-ea"/>
              <a:cs typeface="+mn-cs"/>
            </a:rPr>
            <a:t>’sine kadar ve maksimum </a:t>
          </a:r>
          <a:r>
            <a:rPr lang="tr-TR" sz="1100" b="1" i="0">
              <a:solidFill>
                <a:srgbClr val="002060"/>
              </a:solidFill>
              <a:effectLst/>
              <a:latin typeface="Microsoft PhagsPa" panose="020B0502040204020203" pitchFamily="34" charset="0"/>
              <a:ea typeface="+mn-ea"/>
              <a:cs typeface="+mn-cs"/>
            </a:rPr>
            <a:t>36 ay vade </a:t>
          </a:r>
          <a:r>
            <a:rPr lang="tr-TR" sz="1100" b="0" i="0">
              <a:solidFill>
                <a:srgbClr val="002060"/>
              </a:solidFill>
              <a:effectLst/>
              <a:latin typeface="Microsoft PhagsPa" panose="020B0502040204020203" pitchFamily="34" charset="0"/>
              <a:ea typeface="+mn-ea"/>
              <a:cs typeface="+mn-cs"/>
            </a:rPr>
            <a:t>ile,</a:t>
          </a:r>
        </a:p>
        <a:p>
          <a:pPr fontAlgn="base"/>
          <a:endParaRPr lang="tr-TR" sz="1100" b="0" i="0">
            <a:solidFill>
              <a:srgbClr val="002060"/>
            </a:solidFill>
            <a:effectLst/>
            <a:latin typeface="Microsoft PhagsPa" panose="020B0502040204020203" pitchFamily="34" charset="0"/>
            <a:ea typeface="+mn-ea"/>
            <a:cs typeface="+mn-cs"/>
          </a:endParaRPr>
        </a:p>
        <a:p>
          <a:pPr fontAlgn="base"/>
          <a:r>
            <a:rPr lang="tr-TR" sz="1100" b="1" i="0">
              <a:solidFill>
                <a:srgbClr val="002060"/>
              </a:solidFill>
              <a:effectLst/>
              <a:latin typeface="Microsoft PhagsPa" panose="020B0502040204020203" pitchFamily="34" charset="0"/>
              <a:ea typeface="+mn-ea"/>
              <a:cs typeface="+mn-cs"/>
            </a:rPr>
            <a:t>800.000,01-1.200.000 TL </a:t>
          </a:r>
          <a:r>
            <a:rPr lang="tr-TR" sz="1100" b="0" i="0">
              <a:solidFill>
                <a:srgbClr val="002060"/>
              </a:solidFill>
              <a:effectLst/>
              <a:latin typeface="Microsoft PhagsPa" panose="020B0502040204020203" pitchFamily="34" charset="0"/>
              <a:ea typeface="+mn-ea"/>
              <a:cs typeface="+mn-cs"/>
            </a:rPr>
            <a:t>aralığında ise tutarın </a:t>
          </a:r>
          <a:r>
            <a:rPr lang="tr-TR" sz="1100" b="1" i="0">
              <a:solidFill>
                <a:srgbClr val="002060"/>
              </a:solidFill>
              <a:effectLst/>
              <a:latin typeface="Microsoft PhagsPa" panose="020B0502040204020203" pitchFamily="34" charset="0"/>
              <a:ea typeface="+mn-ea"/>
              <a:cs typeface="+mn-cs"/>
            </a:rPr>
            <a:t>%30</a:t>
          </a:r>
          <a:r>
            <a:rPr lang="tr-TR" sz="1100" b="0" i="0">
              <a:solidFill>
                <a:srgbClr val="002060"/>
              </a:solidFill>
              <a:effectLst/>
              <a:latin typeface="Microsoft PhagsPa" panose="020B0502040204020203" pitchFamily="34" charset="0"/>
              <a:ea typeface="+mn-ea"/>
              <a:cs typeface="+mn-cs"/>
            </a:rPr>
            <a:t>’una kadar ve maksimum </a:t>
          </a:r>
          <a:r>
            <a:rPr lang="tr-TR" sz="1100" b="1" i="0">
              <a:solidFill>
                <a:srgbClr val="002060"/>
              </a:solidFill>
              <a:effectLst/>
              <a:latin typeface="Microsoft PhagsPa" panose="020B0502040204020203" pitchFamily="34" charset="0"/>
              <a:ea typeface="+mn-ea"/>
              <a:cs typeface="+mn-cs"/>
            </a:rPr>
            <a:t>24 ay vade </a:t>
          </a:r>
          <a:r>
            <a:rPr lang="tr-TR" sz="1100" b="0" i="0">
              <a:solidFill>
                <a:srgbClr val="002060"/>
              </a:solidFill>
              <a:effectLst/>
              <a:latin typeface="Microsoft PhagsPa" panose="020B0502040204020203" pitchFamily="34" charset="0"/>
              <a:ea typeface="+mn-ea"/>
              <a:cs typeface="+mn-cs"/>
            </a:rPr>
            <a:t>ile,</a:t>
          </a:r>
        </a:p>
        <a:p>
          <a:pPr fontAlgn="base"/>
          <a:endParaRPr lang="tr-TR" sz="1100" b="0" i="0">
            <a:solidFill>
              <a:srgbClr val="002060"/>
            </a:solidFill>
            <a:effectLst/>
            <a:latin typeface="Microsoft PhagsPa" panose="020B0502040204020203" pitchFamily="34" charset="0"/>
            <a:ea typeface="+mn-ea"/>
            <a:cs typeface="+mn-cs"/>
          </a:endParaRPr>
        </a:p>
        <a:p>
          <a:pPr fontAlgn="base"/>
          <a:r>
            <a:rPr lang="tr-TR" sz="1100" b="1" i="0">
              <a:solidFill>
                <a:srgbClr val="002060"/>
              </a:solidFill>
              <a:effectLst/>
              <a:latin typeface="Microsoft PhagsPa" panose="020B0502040204020203" pitchFamily="34" charset="0"/>
              <a:ea typeface="+mn-ea"/>
              <a:cs typeface="+mn-cs"/>
            </a:rPr>
            <a:t>1.200.000,01-2.000.000 TL </a:t>
          </a:r>
          <a:r>
            <a:rPr lang="tr-TR" sz="1100" b="0" i="0">
              <a:solidFill>
                <a:srgbClr val="002060"/>
              </a:solidFill>
              <a:effectLst/>
              <a:latin typeface="Microsoft PhagsPa" panose="020B0502040204020203" pitchFamily="34" charset="0"/>
              <a:ea typeface="+mn-ea"/>
              <a:cs typeface="+mn-cs"/>
            </a:rPr>
            <a:t>aralığında ise tutarın </a:t>
          </a:r>
          <a:r>
            <a:rPr lang="tr-TR" sz="1100" b="1" i="0">
              <a:solidFill>
                <a:srgbClr val="002060"/>
              </a:solidFill>
              <a:effectLst/>
              <a:latin typeface="Microsoft PhagsPa" panose="020B0502040204020203" pitchFamily="34" charset="0"/>
              <a:ea typeface="+mn-ea"/>
              <a:cs typeface="+mn-cs"/>
            </a:rPr>
            <a:t>%20</a:t>
          </a:r>
          <a:r>
            <a:rPr lang="tr-TR" sz="1100" b="0" i="0">
              <a:solidFill>
                <a:srgbClr val="002060"/>
              </a:solidFill>
              <a:effectLst/>
              <a:latin typeface="Microsoft PhagsPa" panose="020B0502040204020203" pitchFamily="34" charset="0"/>
              <a:ea typeface="+mn-ea"/>
              <a:cs typeface="+mn-cs"/>
            </a:rPr>
            <a:t>’si ne kadar ve maksimum </a:t>
          </a:r>
          <a:r>
            <a:rPr lang="tr-TR" sz="1100" b="1" i="0">
              <a:solidFill>
                <a:srgbClr val="002060"/>
              </a:solidFill>
              <a:effectLst/>
              <a:latin typeface="Microsoft PhagsPa" panose="020B0502040204020203" pitchFamily="34" charset="0"/>
              <a:ea typeface="+mn-ea"/>
              <a:cs typeface="+mn-cs"/>
            </a:rPr>
            <a:t>12 ay vade </a:t>
          </a:r>
          <a:r>
            <a:rPr lang="tr-TR" sz="1100" b="0" i="0">
              <a:solidFill>
                <a:srgbClr val="002060"/>
              </a:solidFill>
              <a:effectLst/>
              <a:latin typeface="Microsoft PhagsPa" panose="020B0502040204020203" pitchFamily="34" charset="0"/>
              <a:ea typeface="+mn-ea"/>
              <a:cs typeface="+mn-cs"/>
            </a:rPr>
            <a:t>ile taşıt kredisi kullandırılabilmektedir.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1066800</xdr:colOff>
      <xdr:row>5</xdr:row>
      <xdr:rowOff>207817</xdr:rowOff>
    </xdr:from>
    <xdr:to>
      <xdr:col>9</xdr:col>
      <xdr:colOff>17318</xdr:colOff>
      <xdr:row>7</xdr:row>
      <xdr:rowOff>1155</xdr:rowOff>
    </xdr:to>
    <xdr:sp macro="" textlink="">
      <xdr:nvSpPr>
        <xdr:cNvPr id="14" name="Rounded Rectangle 13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/>
      </xdr:nvSpPr>
      <xdr:spPr>
        <a:xfrm>
          <a:off x="2962507" y="1891651"/>
          <a:ext cx="11135084" cy="324880"/>
        </a:xfrm>
        <a:prstGeom prst="roundRect">
          <a:avLst>
            <a:gd name="adj" fmla="val 50000"/>
          </a:avLst>
        </a:prstGeom>
        <a:solidFill>
          <a:srgbClr val="002060">
            <a:alpha val="50000"/>
          </a:srgbClr>
        </a:solidFill>
        <a:ln w="28575">
          <a:solidFill>
            <a:srgbClr val="002060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r-TR" sz="1100"/>
        </a:p>
      </xdr:txBody>
    </xdr:sp>
    <xdr:clientData/>
  </xdr:twoCellAnchor>
  <xdr:twoCellAnchor editAs="oneCell">
    <xdr:from>
      <xdr:col>3</xdr:col>
      <xdr:colOff>17160</xdr:colOff>
      <xdr:row>6</xdr:row>
      <xdr:rowOff>60967</xdr:rowOff>
    </xdr:from>
    <xdr:to>
      <xdr:col>3</xdr:col>
      <xdr:colOff>214242</xdr:colOff>
      <xdr:row>6</xdr:row>
      <xdr:rowOff>258049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96843" y="1963339"/>
          <a:ext cx="197082" cy="197082"/>
        </a:xfrm>
        <a:prstGeom prst="rect">
          <a:avLst/>
        </a:prstGeom>
      </xdr:spPr>
    </xdr:pic>
    <xdr:clientData/>
  </xdr:twoCellAnchor>
  <xdr:twoCellAnchor>
    <xdr:from>
      <xdr:col>2</xdr:col>
      <xdr:colOff>1074234</xdr:colOff>
      <xdr:row>7</xdr:row>
      <xdr:rowOff>0</xdr:rowOff>
    </xdr:from>
    <xdr:to>
      <xdr:col>9</xdr:col>
      <xdr:colOff>10391</xdr:colOff>
      <xdr:row>8</xdr:row>
      <xdr:rowOff>11772</xdr:rowOff>
    </xdr:to>
    <xdr:sp macro="" textlink="">
      <xdr:nvSpPr>
        <xdr:cNvPr id="10" name="Rounded Rectangle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/>
      </xdr:nvSpPr>
      <xdr:spPr>
        <a:xfrm>
          <a:off x="2969941" y="2215376"/>
          <a:ext cx="11120723" cy="643674"/>
        </a:xfrm>
        <a:prstGeom prst="roundRect">
          <a:avLst/>
        </a:prstGeom>
        <a:solidFill>
          <a:srgbClr val="002060">
            <a:alpha val="10000"/>
          </a:srgbClr>
        </a:solidFill>
        <a:ln w="19050">
          <a:solidFill>
            <a:srgbClr val="002060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r-TR" sz="1100"/>
        </a:p>
      </xdr:txBody>
    </xdr:sp>
    <xdr:clientData/>
  </xdr:twoCellAnchor>
  <xdr:twoCellAnchor>
    <xdr:from>
      <xdr:col>3</xdr:col>
      <xdr:colOff>23445</xdr:colOff>
      <xdr:row>2</xdr:row>
      <xdr:rowOff>8964</xdr:rowOff>
    </xdr:from>
    <xdr:to>
      <xdr:col>9</xdr:col>
      <xdr:colOff>11905</xdr:colOff>
      <xdr:row>2</xdr:row>
      <xdr:rowOff>296964</xdr:rowOff>
    </xdr:to>
    <xdr:sp macro="" textlink="">
      <xdr:nvSpPr>
        <xdr:cNvPr id="5" name="Rounded Rectangle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>
          <a:spLocks/>
        </xdr:cNvSpPr>
      </xdr:nvSpPr>
      <xdr:spPr>
        <a:xfrm>
          <a:off x="2916664" y="366152"/>
          <a:ext cx="11477991" cy="288000"/>
        </a:xfrm>
        <a:prstGeom prst="roundRect">
          <a:avLst>
            <a:gd name="adj" fmla="val 50000"/>
          </a:avLst>
        </a:prstGeom>
        <a:solidFill>
          <a:schemeClr val="bg1">
            <a:lumMod val="50000"/>
            <a:alpha val="50000"/>
          </a:schemeClr>
        </a:solidFill>
        <a:ln w="28575">
          <a:solidFill>
            <a:sysClr val="windowText" lastClr="000000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r-TR" sz="1100"/>
        </a:p>
      </xdr:txBody>
    </xdr:sp>
    <xdr:clientData/>
  </xdr:twoCellAnchor>
  <xdr:twoCellAnchor editAs="oneCell">
    <xdr:from>
      <xdr:col>3</xdr:col>
      <xdr:colOff>1</xdr:colOff>
      <xdr:row>2</xdr:row>
      <xdr:rowOff>305360</xdr:rowOff>
    </xdr:from>
    <xdr:to>
      <xdr:col>9</xdr:col>
      <xdr:colOff>-1</xdr:colOff>
      <xdr:row>4</xdr:row>
      <xdr:rowOff>9525</xdr:rowOff>
    </xdr:to>
    <xdr:sp macro="" textlink="">
      <xdr:nvSpPr>
        <xdr:cNvPr id="2" name="Rounded Rectangl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2893220" y="662548"/>
          <a:ext cx="11322842" cy="847165"/>
        </a:xfrm>
        <a:prstGeom prst="roundRect">
          <a:avLst/>
        </a:prstGeom>
        <a:noFill/>
        <a:ln w="28575">
          <a:solidFill>
            <a:sysClr val="windowText" lastClr="000000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r-TR" sz="1100"/>
        </a:p>
      </xdr:txBody>
    </xdr:sp>
    <xdr:clientData/>
  </xdr:twoCellAnchor>
  <xdr:twoCellAnchor editAs="oneCell">
    <xdr:from>
      <xdr:col>0</xdr:col>
      <xdr:colOff>251795</xdr:colOff>
      <xdr:row>0</xdr:row>
      <xdr:rowOff>109857</xdr:rowOff>
    </xdr:from>
    <xdr:to>
      <xdr:col>1</xdr:col>
      <xdr:colOff>768769</xdr:colOff>
      <xdr:row>2</xdr:row>
      <xdr:rowOff>229493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1795" y="109857"/>
          <a:ext cx="1440339" cy="478224"/>
        </a:xfrm>
        <a:prstGeom prst="rect">
          <a:avLst/>
        </a:prstGeom>
      </xdr:spPr>
    </xdr:pic>
    <xdr:clientData/>
  </xdr:twoCellAnchor>
  <xdr:twoCellAnchor>
    <xdr:from>
      <xdr:col>4</xdr:col>
      <xdr:colOff>15240</xdr:colOff>
      <xdr:row>11</xdr:row>
      <xdr:rowOff>10510</xdr:rowOff>
    </xdr:from>
    <xdr:to>
      <xdr:col>7</xdr:col>
      <xdr:colOff>14868</xdr:colOff>
      <xdr:row>12</xdr:row>
      <xdr:rowOff>0</xdr:rowOff>
    </xdr:to>
    <xdr:sp macro="" textlink="">
      <xdr:nvSpPr>
        <xdr:cNvPr id="11" name="Rounded Rectangle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/>
      </xdr:nvSpPr>
      <xdr:spPr>
        <a:xfrm>
          <a:off x="5103913" y="3519427"/>
          <a:ext cx="4564194" cy="621393"/>
        </a:xfrm>
        <a:prstGeom prst="roundRect">
          <a:avLst/>
        </a:prstGeom>
        <a:solidFill>
          <a:schemeClr val="bg1">
            <a:lumMod val="50000"/>
            <a:alpha val="10000"/>
          </a:schemeClr>
        </a:solidFill>
        <a:ln w="25400">
          <a:solidFill>
            <a:sysClr val="windowText" lastClr="000000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r-TR" sz="1100"/>
        </a:p>
      </xdr:txBody>
    </xdr:sp>
    <xdr:clientData/>
  </xdr:twoCellAnchor>
  <xdr:twoCellAnchor>
    <xdr:from>
      <xdr:col>2</xdr:col>
      <xdr:colOff>1066800</xdr:colOff>
      <xdr:row>10</xdr:row>
      <xdr:rowOff>16934</xdr:rowOff>
    </xdr:from>
    <xdr:to>
      <xdr:col>7</xdr:col>
      <xdr:colOff>14868</xdr:colOff>
      <xdr:row>11</xdr:row>
      <xdr:rowOff>5074</xdr:rowOff>
    </xdr:to>
    <xdr:sp macro="" textlink="">
      <xdr:nvSpPr>
        <xdr:cNvPr id="12" name="Rounded Rectangle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/>
      </xdr:nvSpPr>
      <xdr:spPr>
        <a:xfrm>
          <a:off x="2962507" y="3213617"/>
          <a:ext cx="6705600" cy="300374"/>
        </a:xfrm>
        <a:prstGeom prst="roundRect">
          <a:avLst>
            <a:gd name="adj" fmla="val 50000"/>
          </a:avLst>
        </a:prstGeom>
        <a:solidFill>
          <a:schemeClr val="bg1">
            <a:lumMod val="50000"/>
            <a:alpha val="50000"/>
          </a:schemeClr>
        </a:solidFill>
        <a:ln w="28575">
          <a:solidFill>
            <a:sysClr val="windowText" lastClr="000000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r-TR" sz="1100"/>
        </a:p>
      </xdr:txBody>
    </xdr:sp>
    <xdr:clientData/>
  </xdr:twoCellAnchor>
  <xdr:twoCellAnchor>
    <xdr:from>
      <xdr:col>2</xdr:col>
      <xdr:colOff>1066800</xdr:colOff>
      <xdr:row>11</xdr:row>
      <xdr:rowOff>10511</xdr:rowOff>
    </xdr:from>
    <xdr:to>
      <xdr:col>4</xdr:col>
      <xdr:colOff>18585</xdr:colOff>
      <xdr:row>12</xdr:row>
      <xdr:rowOff>0</xdr:rowOff>
    </xdr:to>
    <xdr:sp macro="" textlink="">
      <xdr:nvSpPr>
        <xdr:cNvPr id="13" name="Rounded Rectangl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/>
      </xdr:nvSpPr>
      <xdr:spPr>
        <a:xfrm>
          <a:off x="2962507" y="3519428"/>
          <a:ext cx="2144751" cy="621392"/>
        </a:xfrm>
        <a:prstGeom prst="roundRect">
          <a:avLst/>
        </a:prstGeom>
        <a:noFill/>
        <a:ln w="25400">
          <a:solidFill>
            <a:schemeClr val="tx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r-TR" sz="1100"/>
        </a:p>
      </xdr:txBody>
    </xdr:sp>
    <xdr:clientData/>
  </xdr:twoCellAnchor>
  <xdr:twoCellAnchor>
    <xdr:from>
      <xdr:col>7</xdr:col>
      <xdr:colOff>152400</xdr:colOff>
      <xdr:row>10</xdr:row>
      <xdr:rowOff>104776</xdr:rowOff>
    </xdr:from>
    <xdr:to>
      <xdr:col>9</xdr:col>
      <xdr:colOff>495300</xdr:colOff>
      <xdr:row>22</xdr:row>
      <xdr:rowOff>59532</xdr:rowOff>
    </xdr:to>
    <xdr:sp macro="" textlink="">
      <xdr:nvSpPr>
        <xdr:cNvPr id="4" name="InfoText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9998869" y="3950495"/>
          <a:ext cx="4712494" cy="3193256"/>
        </a:xfrm>
        <a:prstGeom prst="rect">
          <a:avLst/>
        </a:prstGeom>
        <a:ln>
          <a:solidFill>
            <a:srgbClr val="002060"/>
          </a:solidFill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fontAlgn="base"/>
          <a:r>
            <a:rPr lang="tr-TR" sz="1100" b="1" i="0">
              <a:solidFill>
                <a:srgbClr val="002060"/>
              </a:solidFill>
              <a:effectLst/>
              <a:latin typeface="Microsoft PhagsPa" panose="020B0502040204020203" pitchFamily="34" charset="0"/>
              <a:ea typeface="+mn-ea"/>
              <a:cs typeface="+mn-cs"/>
            </a:rPr>
            <a:t>Bireysel Taşıt Kredilerinde BDDK uygulamaları</a:t>
          </a:r>
          <a:r>
            <a:rPr lang="tr-TR" sz="1100" b="1" i="0" baseline="0">
              <a:solidFill>
                <a:srgbClr val="002060"/>
              </a:solidFill>
              <a:effectLst/>
              <a:latin typeface="Microsoft PhagsPa" panose="020B0502040204020203" pitchFamily="34" charset="0"/>
              <a:ea typeface="+mn-ea"/>
              <a:cs typeface="+mn-cs"/>
            </a:rPr>
            <a:t> gereği:</a:t>
          </a:r>
        </a:p>
        <a:p>
          <a:pPr fontAlgn="base"/>
          <a:endParaRPr lang="tr-TR" sz="1100" b="1" i="0" baseline="0">
            <a:solidFill>
              <a:srgbClr val="002060"/>
            </a:solidFill>
            <a:effectLst/>
            <a:latin typeface="Microsoft PhagsPa" panose="020B0502040204020203" pitchFamily="34" charset="0"/>
            <a:ea typeface="+mn-ea"/>
            <a:cs typeface="+mn-cs"/>
          </a:endParaRPr>
        </a:p>
        <a:p>
          <a:pPr fontAlgn="base"/>
          <a:r>
            <a:rPr lang="tr-TR" sz="1100" b="1" i="0">
              <a:solidFill>
                <a:srgbClr val="002060"/>
              </a:solidFill>
              <a:effectLst/>
              <a:latin typeface="Microsoft PhagsPa" panose="020B0502040204020203" pitchFamily="34" charset="0"/>
              <a:ea typeface="+mn-ea"/>
              <a:cs typeface="+mn-cs"/>
            </a:rPr>
            <a:t>sıfır araçlar </a:t>
          </a:r>
          <a:r>
            <a:rPr lang="tr-TR" sz="1100" b="0" i="0">
              <a:solidFill>
                <a:srgbClr val="002060"/>
              </a:solidFill>
              <a:effectLst/>
              <a:latin typeface="Microsoft PhagsPa" panose="020B0502040204020203" pitchFamily="34" charset="0"/>
              <a:ea typeface="+mn-ea"/>
              <a:cs typeface="+mn-cs"/>
            </a:rPr>
            <a:t>için aracın </a:t>
          </a:r>
          <a:r>
            <a:rPr lang="tr-TR" sz="1100" b="1" i="0">
              <a:solidFill>
                <a:srgbClr val="002060"/>
              </a:solidFill>
              <a:effectLst/>
              <a:latin typeface="Microsoft PhagsPa" panose="020B0502040204020203" pitchFamily="34" charset="0"/>
              <a:ea typeface="+mn-ea"/>
              <a:cs typeface="+mn-cs"/>
            </a:rPr>
            <a:t>kesin fatura değeri,</a:t>
          </a:r>
        </a:p>
        <a:p>
          <a:pPr fontAlgn="base"/>
          <a:endParaRPr lang="tr-TR" sz="1100" b="1" i="0">
            <a:solidFill>
              <a:srgbClr val="002060"/>
            </a:solidFill>
            <a:effectLst/>
            <a:latin typeface="Microsoft PhagsPa" panose="020B0502040204020203" pitchFamily="34" charset="0"/>
            <a:ea typeface="+mn-ea"/>
            <a:cs typeface="+mn-cs"/>
          </a:endParaRPr>
        </a:p>
        <a:p>
          <a:pPr fontAlgn="base"/>
          <a:r>
            <a:rPr lang="tr-TR" sz="1100" b="1" i="0">
              <a:solidFill>
                <a:srgbClr val="002060"/>
              </a:solidFill>
              <a:effectLst/>
              <a:latin typeface="Microsoft PhagsPa" panose="020B0502040204020203" pitchFamily="34" charset="0"/>
              <a:ea typeface="+mn-ea"/>
              <a:cs typeface="+mn-cs"/>
            </a:rPr>
            <a:t>İkinci el araçlar </a:t>
          </a:r>
          <a:r>
            <a:rPr lang="tr-TR" sz="1100" b="0" i="0">
              <a:solidFill>
                <a:srgbClr val="002060"/>
              </a:solidFill>
              <a:effectLst/>
              <a:latin typeface="Microsoft PhagsPa" panose="020B0502040204020203" pitchFamily="34" charset="0"/>
              <a:ea typeface="+mn-ea"/>
              <a:cs typeface="+mn-cs"/>
            </a:rPr>
            <a:t>için ise aracın </a:t>
          </a:r>
          <a:r>
            <a:rPr lang="tr-TR" sz="1100" b="1" i="0">
              <a:solidFill>
                <a:srgbClr val="002060"/>
              </a:solidFill>
              <a:effectLst/>
              <a:latin typeface="Microsoft PhagsPa" panose="020B0502040204020203" pitchFamily="34" charset="0"/>
              <a:ea typeface="+mn-ea"/>
              <a:cs typeface="+mn-cs"/>
            </a:rPr>
            <a:t>kasko değeri,</a:t>
          </a:r>
        </a:p>
        <a:p>
          <a:pPr fontAlgn="base"/>
          <a:endParaRPr lang="tr-TR" sz="1100" b="1" i="0">
            <a:solidFill>
              <a:srgbClr val="002060"/>
            </a:solidFill>
            <a:effectLst/>
            <a:latin typeface="Microsoft PhagsPa" panose="020B0502040204020203" pitchFamily="34" charset="0"/>
            <a:ea typeface="+mn-ea"/>
            <a:cs typeface="+mn-cs"/>
          </a:endParaRPr>
        </a:p>
        <a:p>
          <a:pPr fontAlgn="base"/>
          <a:r>
            <a:rPr lang="tr-TR" sz="1100" b="1" i="0">
              <a:solidFill>
                <a:srgbClr val="002060"/>
              </a:solidFill>
              <a:effectLst/>
              <a:latin typeface="Microsoft PhagsPa" panose="020B0502040204020203" pitchFamily="34" charset="0"/>
              <a:ea typeface="+mn-ea"/>
              <a:cs typeface="+mn-cs"/>
            </a:rPr>
            <a:t>0-400.000 TL </a:t>
          </a:r>
          <a:r>
            <a:rPr lang="tr-TR" sz="1100" b="0" i="0">
              <a:solidFill>
                <a:srgbClr val="002060"/>
              </a:solidFill>
              <a:effectLst/>
              <a:latin typeface="Microsoft PhagsPa" panose="020B0502040204020203" pitchFamily="34" charset="0"/>
              <a:ea typeface="+mn-ea"/>
              <a:cs typeface="+mn-cs"/>
            </a:rPr>
            <a:t>aralığında ise tutarın </a:t>
          </a:r>
          <a:r>
            <a:rPr lang="tr-TR" sz="1100" b="1" i="0">
              <a:solidFill>
                <a:srgbClr val="002060"/>
              </a:solidFill>
              <a:effectLst/>
              <a:latin typeface="Microsoft PhagsPa" panose="020B0502040204020203" pitchFamily="34" charset="0"/>
              <a:ea typeface="+mn-ea"/>
              <a:cs typeface="+mn-cs"/>
            </a:rPr>
            <a:t>%70</a:t>
          </a:r>
          <a:r>
            <a:rPr lang="tr-TR" sz="1100" b="0" i="0">
              <a:solidFill>
                <a:srgbClr val="002060"/>
              </a:solidFill>
              <a:effectLst/>
              <a:latin typeface="Microsoft PhagsPa" panose="020B0502040204020203" pitchFamily="34" charset="0"/>
              <a:ea typeface="+mn-ea"/>
              <a:cs typeface="+mn-cs"/>
            </a:rPr>
            <a:t>’ine kadar ve </a:t>
          </a:r>
        </a:p>
        <a:p>
          <a:pPr fontAlgn="base"/>
          <a:r>
            <a:rPr lang="tr-TR" sz="1100" b="0" i="0">
              <a:solidFill>
                <a:srgbClr val="002060"/>
              </a:solidFill>
              <a:effectLst/>
              <a:latin typeface="Microsoft PhagsPa" panose="020B0502040204020203" pitchFamily="34" charset="0"/>
              <a:ea typeface="+mn-ea"/>
              <a:cs typeface="+mn-cs"/>
            </a:rPr>
            <a:t>maksimum </a:t>
          </a:r>
          <a:r>
            <a:rPr lang="tr-TR" sz="1100" b="1" i="0">
              <a:solidFill>
                <a:srgbClr val="002060"/>
              </a:solidFill>
              <a:effectLst/>
              <a:latin typeface="Microsoft PhagsPa" panose="020B0502040204020203" pitchFamily="34" charset="0"/>
              <a:ea typeface="+mn-ea"/>
              <a:cs typeface="+mn-cs"/>
            </a:rPr>
            <a:t>48 ay vade </a:t>
          </a:r>
          <a:r>
            <a:rPr lang="tr-TR" sz="1100" b="0" i="0">
              <a:solidFill>
                <a:srgbClr val="002060"/>
              </a:solidFill>
              <a:effectLst/>
              <a:latin typeface="Microsoft PhagsPa" panose="020B0502040204020203" pitchFamily="34" charset="0"/>
              <a:ea typeface="+mn-ea"/>
              <a:cs typeface="+mn-cs"/>
            </a:rPr>
            <a:t>ile,</a:t>
          </a:r>
        </a:p>
        <a:p>
          <a:pPr fontAlgn="base"/>
          <a:endParaRPr lang="tr-TR" sz="1100" b="0" i="0">
            <a:solidFill>
              <a:srgbClr val="002060"/>
            </a:solidFill>
            <a:effectLst/>
            <a:latin typeface="Microsoft PhagsPa" panose="020B0502040204020203" pitchFamily="34" charset="0"/>
            <a:ea typeface="+mn-ea"/>
            <a:cs typeface="+mn-cs"/>
          </a:endParaRPr>
        </a:p>
        <a:p>
          <a:pPr fontAlgn="base"/>
          <a:r>
            <a:rPr lang="tr-TR" sz="1100" b="1" i="0">
              <a:solidFill>
                <a:srgbClr val="002060"/>
              </a:solidFill>
              <a:effectLst/>
              <a:latin typeface="Microsoft PhagsPa" panose="020B0502040204020203" pitchFamily="34" charset="0"/>
              <a:ea typeface="+mn-ea"/>
              <a:cs typeface="+mn-cs"/>
            </a:rPr>
            <a:t>400.000,01-800.000 TL </a:t>
          </a:r>
          <a:r>
            <a:rPr lang="tr-TR" sz="1100" b="0" i="0">
              <a:solidFill>
                <a:srgbClr val="002060"/>
              </a:solidFill>
              <a:effectLst/>
              <a:latin typeface="Microsoft PhagsPa" panose="020B0502040204020203" pitchFamily="34" charset="0"/>
              <a:ea typeface="+mn-ea"/>
              <a:cs typeface="+mn-cs"/>
            </a:rPr>
            <a:t>aralığında ise tutarın </a:t>
          </a:r>
          <a:r>
            <a:rPr lang="tr-TR" sz="1100" b="1" i="0">
              <a:solidFill>
                <a:srgbClr val="002060"/>
              </a:solidFill>
              <a:effectLst/>
              <a:latin typeface="Microsoft PhagsPa" panose="020B0502040204020203" pitchFamily="34" charset="0"/>
              <a:ea typeface="+mn-ea"/>
              <a:cs typeface="+mn-cs"/>
            </a:rPr>
            <a:t>%50</a:t>
          </a:r>
          <a:r>
            <a:rPr lang="tr-TR" sz="1100" b="0" i="0">
              <a:solidFill>
                <a:srgbClr val="002060"/>
              </a:solidFill>
              <a:effectLst/>
              <a:latin typeface="Microsoft PhagsPa" panose="020B0502040204020203" pitchFamily="34" charset="0"/>
              <a:ea typeface="+mn-ea"/>
              <a:cs typeface="+mn-cs"/>
            </a:rPr>
            <a:t>’sine kadar ve maksimum </a:t>
          </a:r>
          <a:r>
            <a:rPr lang="tr-TR" sz="1100" b="1" i="0">
              <a:solidFill>
                <a:srgbClr val="002060"/>
              </a:solidFill>
              <a:effectLst/>
              <a:latin typeface="Microsoft PhagsPa" panose="020B0502040204020203" pitchFamily="34" charset="0"/>
              <a:ea typeface="+mn-ea"/>
              <a:cs typeface="+mn-cs"/>
            </a:rPr>
            <a:t>36 ay vade </a:t>
          </a:r>
          <a:r>
            <a:rPr lang="tr-TR" sz="1100" b="0" i="0">
              <a:solidFill>
                <a:srgbClr val="002060"/>
              </a:solidFill>
              <a:effectLst/>
              <a:latin typeface="Microsoft PhagsPa" panose="020B0502040204020203" pitchFamily="34" charset="0"/>
              <a:ea typeface="+mn-ea"/>
              <a:cs typeface="+mn-cs"/>
            </a:rPr>
            <a:t>ile,</a:t>
          </a:r>
        </a:p>
        <a:p>
          <a:pPr fontAlgn="base"/>
          <a:endParaRPr lang="tr-TR" sz="1100" b="0" i="0">
            <a:solidFill>
              <a:srgbClr val="002060"/>
            </a:solidFill>
            <a:effectLst/>
            <a:latin typeface="Microsoft PhagsPa" panose="020B0502040204020203" pitchFamily="34" charset="0"/>
            <a:ea typeface="+mn-ea"/>
            <a:cs typeface="+mn-cs"/>
          </a:endParaRPr>
        </a:p>
        <a:p>
          <a:pPr fontAlgn="base"/>
          <a:r>
            <a:rPr lang="tr-TR" sz="1100" b="1" i="0">
              <a:solidFill>
                <a:srgbClr val="002060"/>
              </a:solidFill>
              <a:effectLst/>
              <a:latin typeface="Microsoft PhagsPa" panose="020B0502040204020203" pitchFamily="34" charset="0"/>
              <a:ea typeface="+mn-ea"/>
              <a:cs typeface="+mn-cs"/>
            </a:rPr>
            <a:t>800.000,01-1.200.000 TL </a:t>
          </a:r>
          <a:r>
            <a:rPr lang="tr-TR" sz="1100" b="0" i="0">
              <a:solidFill>
                <a:srgbClr val="002060"/>
              </a:solidFill>
              <a:effectLst/>
              <a:latin typeface="Microsoft PhagsPa" panose="020B0502040204020203" pitchFamily="34" charset="0"/>
              <a:ea typeface="+mn-ea"/>
              <a:cs typeface="+mn-cs"/>
            </a:rPr>
            <a:t>aralığında ise tutarın </a:t>
          </a:r>
          <a:r>
            <a:rPr lang="tr-TR" sz="1100" b="1" i="0">
              <a:solidFill>
                <a:srgbClr val="002060"/>
              </a:solidFill>
              <a:effectLst/>
              <a:latin typeface="Microsoft PhagsPa" panose="020B0502040204020203" pitchFamily="34" charset="0"/>
              <a:ea typeface="+mn-ea"/>
              <a:cs typeface="+mn-cs"/>
            </a:rPr>
            <a:t>%30</a:t>
          </a:r>
          <a:r>
            <a:rPr lang="tr-TR" sz="1100" b="0" i="0">
              <a:solidFill>
                <a:srgbClr val="002060"/>
              </a:solidFill>
              <a:effectLst/>
              <a:latin typeface="Microsoft PhagsPa" panose="020B0502040204020203" pitchFamily="34" charset="0"/>
              <a:ea typeface="+mn-ea"/>
              <a:cs typeface="+mn-cs"/>
            </a:rPr>
            <a:t>’una kadar ve maksimum </a:t>
          </a:r>
          <a:r>
            <a:rPr lang="tr-TR" sz="1100" b="1" i="0">
              <a:solidFill>
                <a:srgbClr val="002060"/>
              </a:solidFill>
              <a:effectLst/>
              <a:latin typeface="Microsoft PhagsPa" panose="020B0502040204020203" pitchFamily="34" charset="0"/>
              <a:ea typeface="+mn-ea"/>
              <a:cs typeface="+mn-cs"/>
            </a:rPr>
            <a:t>24 ay vade </a:t>
          </a:r>
          <a:r>
            <a:rPr lang="tr-TR" sz="1100" b="0" i="0">
              <a:solidFill>
                <a:srgbClr val="002060"/>
              </a:solidFill>
              <a:effectLst/>
              <a:latin typeface="Microsoft PhagsPa" panose="020B0502040204020203" pitchFamily="34" charset="0"/>
              <a:ea typeface="+mn-ea"/>
              <a:cs typeface="+mn-cs"/>
            </a:rPr>
            <a:t>ile,</a:t>
          </a:r>
        </a:p>
        <a:p>
          <a:pPr fontAlgn="base"/>
          <a:endParaRPr lang="tr-TR" sz="1100" b="0" i="0">
            <a:solidFill>
              <a:srgbClr val="002060"/>
            </a:solidFill>
            <a:effectLst/>
            <a:latin typeface="Microsoft PhagsPa" panose="020B0502040204020203" pitchFamily="34" charset="0"/>
            <a:ea typeface="+mn-ea"/>
            <a:cs typeface="+mn-cs"/>
          </a:endParaRPr>
        </a:p>
        <a:p>
          <a:pPr fontAlgn="base"/>
          <a:r>
            <a:rPr lang="tr-TR" sz="1100" b="1" i="0">
              <a:solidFill>
                <a:srgbClr val="002060"/>
              </a:solidFill>
              <a:effectLst/>
              <a:latin typeface="Microsoft PhagsPa" panose="020B0502040204020203" pitchFamily="34" charset="0"/>
              <a:ea typeface="+mn-ea"/>
              <a:cs typeface="+mn-cs"/>
            </a:rPr>
            <a:t>1.200.000,01-2.000.000 TL </a:t>
          </a:r>
          <a:r>
            <a:rPr lang="tr-TR" sz="1100" b="0" i="0">
              <a:solidFill>
                <a:srgbClr val="002060"/>
              </a:solidFill>
              <a:effectLst/>
              <a:latin typeface="Microsoft PhagsPa" panose="020B0502040204020203" pitchFamily="34" charset="0"/>
              <a:ea typeface="+mn-ea"/>
              <a:cs typeface="+mn-cs"/>
            </a:rPr>
            <a:t>aralığında ise tutarın </a:t>
          </a:r>
          <a:r>
            <a:rPr lang="tr-TR" sz="1100" b="1" i="0">
              <a:solidFill>
                <a:srgbClr val="002060"/>
              </a:solidFill>
              <a:effectLst/>
              <a:latin typeface="Microsoft PhagsPa" panose="020B0502040204020203" pitchFamily="34" charset="0"/>
              <a:ea typeface="+mn-ea"/>
              <a:cs typeface="+mn-cs"/>
            </a:rPr>
            <a:t>%20</a:t>
          </a:r>
          <a:r>
            <a:rPr lang="tr-TR" sz="1100" b="0" i="0">
              <a:solidFill>
                <a:srgbClr val="002060"/>
              </a:solidFill>
              <a:effectLst/>
              <a:latin typeface="Microsoft PhagsPa" panose="020B0502040204020203" pitchFamily="34" charset="0"/>
              <a:ea typeface="+mn-ea"/>
              <a:cs typeface="+mn-cs"/>
            </a:rPr>
            <a:t>’si ne kadar ve maksimum </a:t>
          </a:r>
          <a:r>
            <a:rPr lang="tr-TR" sz="1100" b="1" i="0">
              <a:solidFill>
                <a:srgbClr val="002060"/>
              </a:solidFill>
              <a:effectLst/>
              <a:latin typeface="Microsoft PhagsPa" panose="020B0502040204020203" pitchFamily="34" charset="0"/>
              <a:ea typeface="+mn-ea"/>
              <a:cs typeface="+mn-cs"/>
            </a:rPr>
            <a:t>12 ay vade </a:t>
          </a:r>
          <a:r>
            <a:rPr lang="tr-TR" sz="1100" b="0" i="0">
              <a:solidFill>
                <a:srgbClr val="002060"/>
              </a:solidFill>
              <a:effectLst/>
              <a:latin typeface="Microsoft PhagsPa" panose="020B0502040204020203" pitchFamily="34" charset="0"/>
              <a:ea typeface="+mn-ea"/>
              <a:cs typeface="+mn-cs"/>
            </a:rPr>
            <a:t>ile taşıt kredisi kullandırılabilmektedir.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3596</xdr:colOff>
      <xdr:row>7</xdr:row>
      <xdr:rowOff>10393</xdr:rowOff>
    </xdr:from>
    <xdr:to>
      <xdr:col>6</xdr:col>
      <xdr:colOff>2282190</xdr:colOff>
      <xdr:row>9</xdr:row>
      <xdr:rowOff>1</xdr:rowOff>
    </xdr:to>
    <xdr:sp macro="" textlink="">
      <xdr:nvSpPr>
        <xdr:cNvPr id="2" name="Rounded Rectangl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2301502" y="1391518"/>
          <a:ext cx="9803344" cy="620639"/>
        </a:xfrm>
        <a:prstGeom prst="roundRect">
          <a:avLst/>
        </a:prstGeom>
        <a:solidFill>
          <a:srgbClr val="002060">
            <a:alpha val="10000"/>
          </a:srgbClr>
        </a:solidFill>
        <a:ln w="28575">
          <a:solidFill>
            <a:srgbClr val="002060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r-TR" sz="1100"/>
        </a:p>
      </xdr:txBody>
    </xdr:sp>
    <xdr:clientData/>
  </xdr:twoCellAnchor>
  <xdr:twoCellAnchor>
    <xdr:from>
      <xdr:col>2</xdr:col>
      <xdr:colOff>3718</xdr:colOff>
      <xdr:row>6</xdr:row>
      <xdr:rowOff>9320</xdr:rowOff>
    </xdr:from>
    <xdr:to>
      <xdr:col>6</xdr:col>
      <xdr:colOff>2339340</xdr:colOff>
      <xdr:row>7</xdr:row>
      <xdr:rowOff>9068</xdr:rowOff>
    </xdr:to>
    <xdr:sp macro="" textlink="">
      <xdr:nvSpPr>
        <xdr:cNvPr id="3" name="Rounded Rectangl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>
          <a:off x="2308768" y="1142795"/>
          <a:ext cx="9822272" cy="247398"/>
        </a:xfrm>
        <a:prstGeom prst="roundRect">
          <a:avLst>
            <a:gd name="adj" fmla="val 50000"/>
          </a:avLst>
        </a:prstGeom>
        <a:solidFill>
          <a:srgbClr val="002060">
            <a:alpha val="50000"/>
          </a:srgbClr>
        </a:solidFill>
        <a:ln w="28575">
          <a:solidFill>
            <a:srgbClr val="002060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r-TR" sz="1100"/>
        </a:p>
      </xdr:txBody>
    </xdr:sp>
    <xdr:clientData/>
  </xdr:twoCellAnchor>
  <xdr:twoCellAnchor>
    <xdr:from>
      <xdr:col>1</xdr:col>
      <xdr:colOff>1828800</xdr:colOff>
      <xdr:row>13</xdr:row>
      <xdr:rowOff>6096</xdr:rowOff>
    </xdr:from>
    <xdr:to>
      <xdr:col>5</xdr:col>
      <xdr:colOff>2379</xdr:colOff>
      <xdr:row>15</xdr:row>
      <xdr:rowOff>5862</xdr:rowOff>
    </xdr:to>
    <xdr:sp macro="" textlink="">
      <xdr:nvSpPr>
        <xdr:cNvPr id="4" name="Rounded Rectangl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/>
      </xdr:nvSpPr>
      <xdr:spPr>
        <a:xfrm>
          <a:off x="2305050" y="3435096"/>
          <a:ext cx="5660229" cy="447441"/>
        </a:xfrm>
        <a:prstGeom prst="roundRect">
          <a:avLst/>
        </a:prstGeom>
        <a:solidFill>
          <a:schemeClr val="tx1">
            <a:alpha val="10000"/>
          </a:schemeClr>
        </a:solidFill>
        <a:ln w="28575">
          <a:solidFill>
            <a:schemeClr val="tx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r-TR" sz="1100"/>
        </a:p>
      </xdr:txBody>
    </xdr:sp>
    <xdr:clientData/>
  </xdr:twoCellAnchor>
  <xdr:twoCellAnchor>
    <xdr:from>
      <xdr:col>1</xdr:col>
      <xdr:colOff>1897380</xdr:colOff>
      <xdr:row>3</xdr:row>
      <xdr:rowOff>10392</xdr:rowOff>
    </xdr:from>
    <xdr:to>
      <xdr:col>4</xdr:col>
      <xdr:colOff>184</xdr:colOff>
      <xdr:row>3</xdr:row>
      <xdr:rowOff>380407</xdr:rowOff>
    </xdr:to>
    <xdr:sp macro="" textlink="">
      <xdr:nvSpPr>
        <xdr:cNvPr id="5" name="Rounded Rectangle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/>
      </xdr:nvSpPr>
      <xdr:spPr>
        <a:xfrm>
          <a:off x="2306955" y="639042"/>
          <a:ext cx="3770179" cy="370015"/>
        </a:xfrm>
        <a:prstGeom prst="roundRect">
          <a:avLst/>
        </a:prstGeom>
        <a:noFill/>
        <a:ln w="28575">
          <a:solidFill>
            <a:sysClr val="windowText" lastClr="000000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r-TR" sz="1100"/>
        </a:p>
      </xdr:txBody>
    </xdr:sp>
    <xdr:clientData/>
  </xdr:twoCellAnchor>
  <xdr:twoCellAnchor>
    <xdr:from>
      <xdr:col>1</xdr:col>
      <xdr:colOff>1889760</xdr:colOff>
      <xdr:row>2</xdr:row>
      <xdr:rowOff>8526</xdr:rowOff>
    </xdr:from>
    <xdr:to>
      <xdr:col>3</xdr:col>
      <xdr:colOff>1929161</xdr:colOff>
      <xdr:row>3</xdr:row>
      <xdr:rowOff>9861</xdr:rowOff>
    </xdr:to>
    <xdr:sp macro="" textlink="">
      <xdr:nvSpPr>
        <xdr:cNvPr id="6" name="Rounded Rectangle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/>
      </xdr:nvSpPr>
      <xdr:spPr>
        <a:xfrm>
          <a:off x="2308860" y="389526"/>
          <a:ext cx="3763676" cy="248985"/>
        </a:xfrm>
        <a:prstGeom prst="roundRect">
          <a:avLst>
            <a:gd name="adj" fmla="val 50000"/>
          </a:avLst>
        </a:prstGeom>
        <a:solidFill>
          <a:schemeClr val="bg1">
            <a:lumMod val="50000"/>
            <a:alpha val="50000"/>
          </a:schemeClr>
        </a:solidFill>
        <a:ln w="28575">
          <a:solidFill>
            <a:schemeClr val="bg2">
              <a:lumMod val="10000"/>
            </a:schemeClr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r-TR" sz="1100"/>
        </a:p>
      </xdr:txBody>
    </xdr:sp>
    <xdr:clientData/>
  </xdr:twoCellAnchor>
  <xdr:twoCellAnchor editAs="oneCell">
    <xdr:from>
      <xdr:col>0</xdr:col>
      <xdr:colOff>327660</xdr:colOff>
      <xdr:row>1</xdr:row>
      <xdr:rowOff>106680</xdr:rowOff>
    </xdr:from>
    <xdr:to>
      <xdr:col>0</xdr:col>
      <xdr:colOff>1762830</xdr:colOff>
      <xdr:row>3</xdr:row>
      <xdr:rowOff>153480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7660" y="297180"/>
          <a:ext cx="1435170" cy="484950"/>
        </a:xfrm>
        <a:prstGeom prst="rect">
          <a:avLst/>
        </a:prstGeom>
      </xdr:spPr>
    </xdr:pic>
    <xdr:clientData/>
  </xdr:twoCellAnchor>
  <xdr:twoCellAnchor>
    <xdr:from>
      <xdr:col>1</xdr:col>
      <xdr:colOff>2095500</xdr:colOff>
      <xdr:row>12</xdr:row>
      <xdr:rowOff>13062</xdr:rowOff>
    </xdr:from>
    <xdr:to>
      <xdr:col>4</xdr:col>
      <xdr:colOff>2095500</xdr:colOff>
      <xdr:row>13</xdr:row>
      <xdr:rowOff>6096</xdr:rowOff>
    </xdr:to>
    <xdr:sp macro="" textlink="">
      <xdr:nvSpPr>
        <xdr:cNvPr id="8" name="Rounded Rectangle 7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SpPr/>
      </xdr:nvSpPr>
      <xdr:spPr>
        <a:xfrm>
          <a:off x="2305050" y="3232512"/>
          <a:ext cx="5657850" cy="202584"/>
        </a:xfrm>
        <a:prstGeom prst="roundRect">
          <a:avLst>
            <a:gd name="adj" fmla="val 50000"/>
          </a:avLst>
        </a:prstGeom>
        <a:solidFill>
          <a:schemeClr val="bg1">
            <a:lumMod val="50000"/>
            <a:alpha val="50000"/>
          </a:schemeClr>
        </a:solidFill>
        <a:ln w="28575">
          <a:solidFill>
            <a:sysClr val="windowText" lastClr="000000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r-TR" sz="1100"/>
        </a:p>
      </xdr:txBody>
    </xdr:sp>
    <xdr:clientData/>
  </xdr:twoCellAnchor>
  <xdr:twoCellAnchor>
    <xdr:from>
      <xdr:col>2</xdr:col>
      <xdr:colOff>6568</xdr:colOff>
      <xdr:row>18</xdr:row>
      <xdr:rowOff>13138</xdr:rowOff>
    </xdr:from>
    <xdr:to>
      <xdr:col>4</xdr:col>
      <xdr:colOff>1865585</xdr:colOff>
      <xdr:row>20</xdr:row>
      <xdr:rowOff>6568</xdr:rowOff>
    </xdr:to>
    <xdr:sp macro="" textlink="">
      <xdr:nvSpPr>
        <xdr:cNvPr id="9" name="Rounded Rectangle 8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SpPr/>
      </xdr:nvSpPr>
      <xdr:spPr>
        <a:xfrm>
          <a:off x="2311618" y="4461313"/>
          <a:ext cx="5630917" cy="469680"/>
        </a:xfrm>
        <a:prstGeom prst="roundRect">
          <a:avLst>
            <a:gd name="adj" fmla="val 50000"/>
          </a:avLst>
        </a:prstGeom>
        <a:solidFill>
          <a:srgbClr val="002060">
            <a:alpha val="50000"/>
          </a:srgbClr>
        </a:solidFill>
        <a:ln w="28575">
          <a:solidFill>
            <a:srgbClr val="002060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r-TR" sz="1100"/>
        </a:p>
      </xdr:txBody>
    </xdr:sp>
    <xdr:clientData/>
  </xdr:twoCellAnchor>
  <xdr:twoCellAnchor>
    <xdr:from>
      <xdr:col>2</xdr:col>
      <xdr:colOff>6569</xdr:colOff>
      <xdr:row>20</xdr:row>
      <xdr:rowOff>13137</xdr:rowOff>
    </xdr:from>
    <xdr:to>
      <xdr:col>4</xdr:col>
      <xdr:colOff>1878725</xdr:colOff>
      <xdr:row>23</xdr:row>
      <xdr:rowOff>6569</xdr:rowOff>
    </xdr:to>
    <xdr:sp macro="" textlink="">
      <xdr:nvSpPr>
        <xdr:cNvPr id="10" name="Rounded Rectangle 9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SpPr/>
      </xdr:nvSpPr>
      <xdr:spPr>
        <a:xfrm>
          <a:off x="2311619" y="4937562"/>
          <a:ext cx="5644056" cy="707807"/>
        </a:xfrm>
        <a:prstGeom prst="roundRect">
          <a:avLst/>
        </a:prstGeom>
        <a:solidFill>
          <a:srgbClr val="002060">
            <a:alpha val="10000"/>
          </a:srgbClr>
        </a:solidFill>
        <a:ln w="28575">
          <a:solidFill>
            <a:srgbClr val="002060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r-TR" sz="1100"/>
        </a:p>
      </xdr:txBody>
    </xdr:sp>
    <xdr:clientData/>
  </xdr:twoCellAnchor>
  <xdr:twoCellAnchor>
    <xdr:from>
      <xdr:col>2</xdr:col>
      <xdr:colOff>6569</xdr:colOff>
      <xdr:row>20</xdr:row>
      <xdr:rowOff>13137</xdr:rowOff>
    </xdr:from>
    <xdr:to>
      <xdr:col>4</xdr:col>
      <xdr:colOff>1878725</xdr:colOff>
      <xdr:row>23</xdr:row>
      <xdr:rowOff>6569</xdr:rowOff>
    </xdr:to>
    <xdr:sp macro="" textlink="">
      <xdr:nvSpPr>
        <xdr:cNvPr id="11" name="Rounded Rectangle 10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SpPr/>
      </xdr:nvSpPr>
      <xdr:spPr>
        <a:xfrm>
          <a:off x="2311619" y="4937562"/>
          <a:ext cx="5644056" cy="707807"/>
        </a:xfrm>
        <a:prstGeom prst="roundRect">
          <a:avLst/>
        </a:prstGeom>
        <a:solidFill>
          <a:srgbClr val="002060">
            <a:alpha val="10000"/>
          </a:srgbClr>
        </a:solidFill>
        <a:ln w="28575">
          <a:solidFill>
            <a:srgbClr val="002060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r-TR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525089</xdr:colOff>
      <xdr:row>7</xdr:row>
      <xdr:rowOff>10393</xdr:rowOff>
    </xdr:from>
    <xdr:to>
      <xdr:col>6</xdr:col>
      <xdr:colOff>2339340</xdr:colOff>
      <xdr:row>9</xdr:row>
      <xdr:rowOff>1</xdr:rowOff>
    </xdr:to>
    <xdr:sp macro="" textlink="">
      <xdr:nvSpPr>
        <xdr:cNvPr id="31" name="Rounded Rectangle 30">
          <a:extLst>
            <a:ext uri="{FF2B5EF4-FFF2-40B4-BE49-F238E27FC236}">
              <a16:creationId xmlns:a16="http://schemas.microsoft.com/office/drawing/2014/main" id="{00000000-0008-0000-0300-00001F000000}"/>
            </a:ext>
          </a:extLst>
        </xdr:cNvPr>
        <xdr:cNvSpPr/>
      </xdr:nvSpPr>
      <xdr:spPr>
        <a:xfrm>
          <a:off x="2369129" y="1641073"/>
          <a:ext cx="10112431" cy="622068"/>
        </a:xfrm>
        <a:prstGeom prst="roundRect">
          <a:avLst/>
        </a:prstGeom>
        <a:solidFill>
          <a:srgbClr val="002060">
            <a:alpha val="10000"/>
          </a:srgbClr>
        </a:solidFill>
        <a:ln w="28575">
          <a:solidFill>
            <a:srgbClr val="002060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r-TR" sz="1100"/>
        </a:p>
      </xdr:txBody>
    </xdr:sp>
    <xdr:clientData/>
  </xdr:twoCellAnchor>
  <xdr:twoCellAnchor>
    <xdr:from>
      <xdr:col>2</xdr:col>
      <xdr:colOff>3718</xdr:colOff>
      <xdr:row>6</xdr:row>
      <xdr:rowOff>9320</xdr:rowOff>
    </xdr:from>
    <xdr:to>
      <xdr:col>6</xdr:col>
      <xdr:colOff>2339340</xdr:colOff>
      <xdr:row>7</xdr:row>
      <xdr:rowOff>9068</xdr:rowOff>
    </xdr:to>
    <xdr:sp macro="" textlink="">
      <xdr:nvSpPr>
        <xdr:cNvPr id="29" name="Rounded Rectangle 28">
          <a:extLst>
            <a:ext uri="{FF2B5EF4-FFF2-40B4-BE49-F238E27FC236}">
              <a16:creationId xmlns:a16="http://schemas.microsoft.com/office/drawing/2014/main" id="{00000000-0008-0000-0300-00001D000000}"/>
            </a:ext>
          </a:extLst>
        </xdr:cNvPr>
        <xdr:cNvSpPr/>
      </xdr:nvSpPr>
      <xdr:spPr>
        <a:xfrm>
          <a:off x="3684178" y="2531540"/>
          <a:ext cx="10108022" cy="251208"/>
        </a:xfrm>
        <a:prstGeom prst="roundRect">
          <a:avLst>
            <a:gd name="adj" fmla="val 50000"/>
          </a:avLst>
        </a:prstGeom>
        <a:solidFill>
          <a:srgbClr val="002060">
            <a:alpha val="50000"/>
          </a:srgbClr>
        </a:solidFill>
        <a:ln w="28575">
          <a:solidFill>
            <a:srgbClr val="002060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r-TR" sz="1100"/>
        </a:p>
      </xdr:txBody>
    </xdr:sp>
    <xdr:clientData/>
  </xdr:twoCellAnchor>
  <xdr:twoCellAnchor>
    <xdr:from>
      <xdr:col>1</xdr:col>
      <xdr:colOff>1828800</xdr:colOff>
      <xdr:row>13</xdr:row>
      <xdr:rowOff>6096</xdr:rowOff>
    </xdr:from>
    <xdr:to>
      <xdr:col>5</xdr:col>
      <xdr:colOff>2379</xdr:colOff>
      <xdr:row>15</xdr:row>
      <xdr:rowOff>5862</xdr:rowOff>
    </xdr:to>
    <xdr:sp macro="" textlink="">
      <xdr:nvSpPr>
        <xdr:cNvPr id="13" name="Rounded Rectangle 12">
          <a:extLst>
            <a:ext uri="{FF2B5EF4-FFF2-40B4-BE49-F238E27FC236}">
              <a16:creationId xmlns:a16="http://schemas.microsoft.com/office/drawing/2014/main" id="{00000000-0008-0000-0300-00000D000000}"/>
            </a:ext>
          </a:extLst>
        </xdr:cNvPr>
        <xdr:cNvSpPr/>
      </xdr:nvSpPr>
      <xdr:spPr>
        <a:xfrm>
          <a:off x="3675529" y="1449414"/>
          <a:ext cx="5309485" cy="707977"/>
        </a:xfrm>
        <a:prstGeom prst="roundRect">
          <a:avLst/>
        </a:prstGeom>
        <a:solidFill>
          <a:schemeClr val="tx1">
            <a:alpha val="10000"/>
          </a:schemeClr>
        </a:solidFill>
        <a:ln w="28575">
          <a:solidFill>
            <a:schemeClr val="tx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r-TR" sz="1100"/>
        </a:p>
      </xdr:txBody>
    </xdr:sp>
    <xdr:clientData/>
  </xdr:twoCellAnchor>
  <xdr:twoCellAnchor>
    <xdr:from>
      <xdr:col>1</xdr:col>
      <xdr:colOff>1897380</xdr:colOff>
      <xdr:row>3</xdr:row>
      <xdr:rowOff>10392</xdr:rowOff>
    </xdr:from>
    <xdr:to>
      <xdr:col>4</xdr:col>
      <xdr:colOff>184</xdr:colOff>
      <xdr:row>3</xdr:row>
      <xdr:rowOff>380407</xdr:rowOff>
    </xdr:to>
    <xdr:sp macro="" textlink="">
      <xdr:nvSpPr>
        <xdr:cNvPr id="15" name="Rounded Rectangle 14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SpPr/>
      </xdr:nvSpPr>
      <xdr:spPr>
        <a:xfrm>
          <a:off x="5577840" y="444732"/>
          <a:ext cx="3932104" cy="370015"/>
        </a:xfrm>
        <a:prstGeom prst="roundRect">
          <a:avLst/>
        </a:prstGeom>
        <a:noFill/>
        <a:ln w="28575">
          <a:solidFill>
            <a:sysClr val="windowText" lastClr="000000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r-TR" sz="1100"/>
        </a:p>
      </xdr:txBody>
    </xdr:sp>
    <xdr:clientData/>
  </xdr:twoCellAnchor>
  <xdr:twoCellAnchor>
    <xdr:from>
      <xdr:col>1</xdr:col>
      <xdr:colOff>1889760</xdr:colOff>
      <xdr:row>2</xdr:row>
      <xdr:rowOff>8526</xdr:rowOff>
    </xdr:from>
    <xdr:to>
      <xdr:col>3</xdr:col>
      <xdr:colOff>1929161</xdr:colOff>
      <xdr:row>3</xdr:row>
      <xdr:rowOff>9861</xdr:rowOff>
    </xdr:to>
    <xdr:sp macro="" textlink="">
      <xdr:nvSpPr>
        <xdr:cNvPr id="23" name="Rounded Rectangle 22">
          <a:extLst>
            <a:ext uri="{FF2B5EF4-FFF2-40B4-BE49-F238E27FC236}">
              <a16:creationId xmlns:a16="http://schemas.microsoft.com/office/drawing/2014/main" id="{00000000-0008-0000-0300-000017000000}"/>
            </a:ext>
          </a:extLst>
        </xdr:cNvPr>
        <xdr:cNvSpPr/>
      </xdr:nvSpPr>
      <xdr:spPr>
        <a:xfrm>
          <a:off x="5570220" y="191406"/>
          <a:ext cx="3925601" cy="252795"/>
        </a:xfrm>
        <a:prstGeom prst="roundRect">
          <a:avLst>
            <a:gd name="adj" fmla="val 50000"/>
          </a:avLst>
        </a:prstGeom>
        <a:solidFill>
          <a:schemeClr val="bg1">
            <a:lumMod val="50000"/>
            <a:alpha val="50000"/>
          </a:schemeClr>
        </a:solidFill>
        <a:ln w="28575">
          <a:solidFill>
            <a:schemeClr val="bg2">
              <a:lumMod val="10000"/>
            </a:schemeClr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r-TR" sz="1100"/>
        </a:p>
      </xdr:txBody>
    </xdr:sp>
    <xdr:clientData/>
  </xdr:twoCellAnchor>
  <xdr:twoCellAnchor editAs="oneCell">
    <xdr:from>
      <xdr:col>0</xdr:col>
      <xdr:colOff>327660</xdr:colOff>
      <xdr:row>1</xdr:row>
      <xdr:rowOff>106680</xdr:rowOff>
    </xdr:from>
    <xdr:to>
      <xdr:col>0</xdr:col>
      <xdr:colOff>1762830</xdr:colOff>
      <xdr:row>3</xdr:row>
      <xdr:rowOff>153480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id="{00000000-0008-0000-0300-00001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7660" y="106680"/>
          <a:ext cx="1437859" cy="478796"/>
        </a:xfrm>
        <a:prstGeom prst="rect">
          <a:avLst/>
        </a:prstGeom>
      </xdr:spPr>
    </xdr:pic>
    <xdr:clientData/>
  </xdr:twoCellAnchor>
  <xdr:twoCellAnchor>
    <xdr:from>
      <xdr:col>1</xdr:col>
      <xdr:colOff>2095500</xdr:colOff>
      <xdr:row>12</xdr:row>
      <xdr:rowOff>13062</xdr:rowOff>
    </xdr:from>
    <xdr:to>
      <xdr:col>4</xdr:col>
      <xdr:colOff>2095500</xdr:colOff>
      <xdr:row>13</xdr:row>
      <xdr:rowOff>6096</xdr:rowOff>
    </xdr:to>
    <xdr:sp macro="" textlink="">
      <xdr:nvSpPr>
        <xdr:cNvPr id="27" name="Rounded Rectangle 26">
          <a:extLst>
            <a:ext uri="{FF2B5EF4-FFF2-40B4-BE49-F238E27FC236}">
              <a16:creationId xmlns:a16="http://schemas.microsoft.com/office/drawing/2014/main" id="{00000000-0008-0000-0300-00001B000000}"/>
            </a:ext>
          </a:extLst>
        </xdr:cNvPr>
        <xdr:cNvSpPr/>
      </xdr:nvSpPr>
      <xdr:spPr>
        <a:xfrm>
          <a:off x="4122420" y="1570590"/>
          <a:ext cx="6336792" cy="246018"/>
        </a:xfrm>
        <a:prstGeom prst="roundRect">
          <a:avLst>
            <a:gd name="adj" fmla="val 50000"/>
          </a:avLst>
        </a:prstGeom>
        <a:solidFill>
          <a:schemeClr val="bg1">
            <a:lumMod val="50000"/>
            <a:alpha val="50000"/>
          </a:schemeClr>
        </a:solidFill>
        <a:ln w="28575">
          <a:solidFill>
            <a:sysClr val="windowText" lastClr="000000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r-TR" sz="1100"/>
        </a:p>
      </xdr:txBody>
    </xdr:sp>
    <xdr:clientData/>
  </xdr:twoCellAnchor>
  <xdr:twoCellAnchor>
    <xdr:from>
      <xdr:col>2</xdr:col>
      <xdr:colOff>6568</xdr:colOff>
      <xdr:row>18</xdr:row>
      <xdr:rowOff>13138</xdr:rowOff>
    </xdr:from>
    <xdr:to>
      <xdr:col>4</xdr:col>
      <xdr:colOff>1865585</xdr:colOff>
      <xdr:row>20</xdr:row>
      <xdr:rowOff>6568</xdr:rowOff>
    </xdr:to>
    <xdr:sp macro="" textlink="">
      <xdr:nvSpPr>
        <xdr:cNvPr id="11" name="Rounded Rectangle 10"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SpPr/>
      </xdr:nvSpPr>
      <xdr:spPr>
        <a:xfrm>
          <a:off x="2311618" y="4594663"/>
          <a:ext cx="5630917" cy="469680"/>
        </a:xfrm>
        <a:prstGeom prst="roundRect">
          <a:avLst>
            <a:gd name="adj" fmla="val 50000"/>
          </a:avLst>
        </a:prstGeom>
        <a:solidFill>
          <a:srgbClr val="002060">
            <a:alpha val="50000"/>
          </a:srgbClr>
        </a:solidFill>
        <a:ln w="28575">
          <a:solidFill>
            <a:srgbClr val="002060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r-TR" sz="1100"/>
        </a:p>
      </xdr:txBody>
    </xdr:sp>
    <xdr:clientData/>
  </xdr:twoCellAnchor>
  <xdr:twoCellAnchor>
    <xdr:from>
      <xdr:col>2</xdr:col>
      <xdr:colOff>6569</xdr:colOff>
      <xdr:row>20</xdr:row>
      <xdr:rowOff>13137</xdr:rowOff>
    </xdr:from>
    <xdr:to>
      <xdr:col>4</xdr:col>
      <xdr:colOff>1878725</xdr:colOff>
      <xdr:row>23</xdr:row>
      <xdr:rowOff>6569</xdr:rowOff>
    </xdr:to>
    <xdr:sp macro="" textlink="">
      <xdr:nvSpPr>
        <xdr:cNvPr id="12" name="Rounded Rectangle 11">
          <a:extLst>
            <a:ext uri="{FF2B5EF4-FFF2-40B4-BE49-F238E27FC236}">
              <a16:creationId xmlns:a16="http://schemas.microsoft.com/office/drawing/2014/main" id="{00000000-0008-0000-0300-00000C000000}"/>
            </a:ext>
          </a:extLst>
        </xdr:cNvPr>
        <xdr:cNvSpPr/>
      </xdr:nvSpPr>
      <xdr:spPr>
        <a:xfrm>
          <a:off x="2311619" y="5070912"/>
          <a:ext cx="5644056" cy="707807"/>
        </a:xfrm>
        <a:prstGeom prst="roundRect">
          <a:avLst/>
        </a:prstGeom>
        <a:solidFill>
          <a:srgbClr val="002060">
            <a:alpha val="10000"/>
          </a:srgbClr>
        </a:solidFill>
        <a:ln w="28575">
          <a:solidFill>
            <a:srgbClr val="002060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r-TR" sz="1100"/>
        </a:p>
      </xdr:txBody>
    </xdr:sp>
    <xdr:clientData/>
  </xdr:twoCellAnchor>
  <xdr:twoCellAnchor>
    <xdr:from>
      <xdr:col>2</xdr:col>
      <xdr:colOff>6569</xdr:colOff>
      <xdr:row>20</xdr:row>
      <xdr:rowOff>13137</xdr:rowOff>
    </xdr:from>
    <xdr:to>
      <xdr:col>4</xdr:col>
      <xdr:colOff>1878725</xdr:colOff>
      <xdr:row>23</xdr:row>
      <xdr:rowOff>6569</xdr:rowOff>
    </xdr:to>
    <xdr:sp macro="" textlink="">
      <xdr:nvSpPr>
        <xdr:cNvPr id="14" name="Rounded Rectangle 13">
          <a:extLst>
            <a:ext uri="{FF2B5EF4-FFF2-40B4-BE49-F238E27FC236}">
              <a16:creationId xmlns:a16="http://schemas.microsoft.com/office/drawing/2014/main" id="{00000000-0008-0000-0300-00000E000000}"/>
            </a:ext>
          </a:extLst>
        </xdr:cNvPr>
        <xdr:cNvSpPr/>
      </xdr:nvSpPr>
      <xdr:spPr>
        <a:xfrm>
          <a:off x="2311619" y="5070912"/>
          <a:ext cx="5644056" cy="707807"/>
        </a:xfrm>
        <a:prstGeom prst="roundRect">
          <a:avLst/>
        </a:prstGeom>
        <a:solidFill>
          <a:srgbClr val="002060">
            <a:alpha val="10000"/>
          </a:srgbClr>
        </a:solidFill>
        <a:ln w="28575">
          <a:solidFill>
            <a:srgbClr val="002060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r-TR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525089</xdr:colOff>
      <xdr:row>7</xdr:row>
      <xdr:rowOff>10393</xdr:rowOff>
    </xdr:from>
    <xdr:to>
      <xdr:col>6</xdr:col>
      <xdr:colOff>2339340</xdr:colOff>
      <xdr:row>9</xdr:row>
      <xdr:rowOff>1</xdr:rowOff>
    </xdr:to>
    <xdr:sp macro="" textlink="">
      <xdr:nvSpPr>
        <xdr:cNvPr id="2" name="Rounded Rectangle 1">
          <a:extLst>
            <a:ext uri="{FF2B5EF4-FFF2-40B4-BE49-F238E27FC236}">
              <a16:creationId xmlns:a16="http://schemas.microsoft.com/office/drawing/2014/main" id="{FDFAB3BE-C0EE-4CFB-8CEC-9CC35DDF2826}"/>
            </a:ext>
          </a:extLst>
        </xdr:cNvPr>
        <xdr:cNvSpPr/>
      </xdr:nvSpPr>
      <xdr:spPr>
        <a:xfrm>
          <a:off x="2306264" y="1391518"/>
          <a:ext cx="9824776" cy="618258"/>
        </a:xfrm>
        <a:prstGeom prst="roundRect">
          <a:avLst/>
        </a:prstGeom>
        <a:solidFill>
          <a:srgbClr val="002060">
            <a:alpha val="10000"/>
          </a:srgbClr>
        </a:solidFill>
        <a:ln w="28575">
          <a:solidFill>
            <a:srgbClr val="002060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r-TR" sz="1100"/>
        </a:p>
      </xdr:txBody>
    </xdr:sp>
    <xdr:clientData/>
  </xdr:twoCellAnchor>
  <xdr:twoCellAnchor>
    <xdr:from>
      <xdr:col>2</xdr:col>
      <xdr:colOff>3718</xdr:colOff>
      <xdr:row>6</xdr:row>
      <xdr:rowOff>9320</xdr:rowOff>
    </xdr:from>
    <xdr:to>
      <xdr:col>6</xdr:col>
      <xdr:colOff>2339340</xdr:colOff>
      <xdr:row>7</xdr:row>
      <xdr:rowOff>9068</xdr:rowOff>
    </xdr:to>
    <xdr:sp macro="" textlink="">
      <xdr:nvSpPr>
        <xdr:cNvPr id="3" name="Rounded Rectangle 2">
          <a:extLst>
            <a:ext uri="{FF2B5EF4-FFF2-40B4-BE49-F238E27FC236}">
              <a16:creationId xmlns:a16="http://schemas.microsoft.com/office/drawing/2014/main" id="{C9BB9888-3331-4475-9D85-61E9692FBF78}"/>
            </a:ext>
          </a:extLst>
        </xdr:cNvPr>
        <xdr:cNvSpPr/>
      </xdr:nvSpPr>
      <xdr:spPr>
        <a:xfrm>
          <a:off x="2308768" y="1142795"/>
          <a:ext cx="9822272" cy="247398"/>
        </a:xfrm>
        <a:prstGeom prst="roundRect">
          <a:avLst>
            <a:gd name="adj" fmla="val 50000"/>
          </a:avLst>
        </a:prstGeom>
        <a:solidFill>
          <a:srgbClr val="002060">
            <a:alpha val="50000"/>
          </a:srgbClr>
        </a:solidFill>
        <a:ln w="28575">
          <a:solidFill>
            <a:srgbClr val="002060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r-TR" sz="1100"/>
        </a:p>
      </xdr:txBody>
    </xdr:sp>
    <xdr:clientData/>
  </xdr:twoCellAnchor>
  <xdr:twoCellAnchor>
    <xdr:from>
      <xdr:col>1</xdr:col>
      <xdr:colOff>1828800</xdr:colOff>
      <xdr:row>13</xdr:row>
      <xdr:rowOff>6096</xdr:rowOff>
    </xdr:from>
    <xdr:to>
      <xdr:col>5</xdr:col>
      <xdr:colOff>2379</xdr:colOff>
      <xdr:row>15</xdr:row>
      <xdr:rowOff>5862</xdr:rowOff>
    </xdr:to>
    <xdr:sp macro="" textlink="">
      <xdr:nvSpPr>
        <xdr:cNvPr id="4" name="Rounded Rectangle 3">
          <a:extLst>
            <a:ext uri="{FF2B5EF4-FFF2-40B4-BE49-F238E27FC236}">
              <a16:creationId xmlns:a16="http://schemas.microsoft.com/office/drawing/2014/main" id="{BC97C320-BE97-4C8C-8A16-99F5E6B48FC3}"/>
            </a:ext>
          </a:extLst>
        </xdr:cNvPr>
        <xdr:cNvSpPr/>
      </xdr:nvSpPr>
      <xdr:spPr>
        <a:xfrm>
          <a:off x="2305050" y="3435096"/>
          <a:ext cx="5660229" cy="447441"/>
        </a:xfrm>
        <a:prstGeom prst="roundRect">
          <a:avLst/>
        </a:prstGeom>
        <a:solidFill>
          <a:schemeClr val="tx1">
            <a:alpha val="10000"/>
          </a:schemeClr>
        </a:solidFill>
        <a:ln w="28575">
          <a:solidFill>
            <a:schemeClr val="tx1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r-TR" sz="1100"/>
        </a:p>
      </xdr:txBody>
    </xdr:sp>
    <xdr:clientData/>
  </xdr:twoCellAnchor>
  <xdr:twoCellAnchor>
    <xdr:from>
      <xdr:col>1</xdr:col>
      <xdr:colOff>1897380</xdr:colOff>
      <xdr:row>3</xdr:row>
      <xdr:rowOff>10392</xdr:rowOff>
    </xdr:from>
    <xdr:to>
      <xdr:col>4</xdr:col>
      <xdr:colOff>184</xdr:colOff>
      <xdr:row>3</xdr:row>
      <xdr:rowOff>380407</xdr:rowOff>
    </xdr:to>
    <xdr:sp macro="" textlink="">
      <xdr:nvSpPr>
        <xdr:cNvPr id="5" name="Rounded Rectangle 4">
          <a:extLst>
            <a:ext uri="{FF2B5EF4-FFF2-40B4-BE49-F238E27FC236}">
              <a16:creationId xmlns:a16="http://schemas.microsoft.com/office/drawing/2014/main" id="{4E060312-3786-4E4A-9725-722552252E72}"/>
            </a:ext>
          </a:extLst>
        </xdr:cNvPr>
        <xdr:cNvSpPr/>
      </xdr:nvSpPr>
      <xdr:spPr>
        <a:xfrm>
          <a:off x="2306955" y="639042"/>
          <a:ext cx="3770179" cy="370015"/>
        </a:xfrm>
        <a:prstGeom prst="roundRect">
          <a:avLst/>
        </a:prstGeom>
        <a:noFill/>
        <a:ln w="28575">
          <a:solidFill>
            <a:sysClr val="windowText" lastClr="000000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r-TR" sz="1100"/>
        </a:p>
      </xdr:txBody>
    </xdr:sp>
    <xdr:clientData/>
  </xdr:twoCellAnchor>
  <xdr:twoCellAnchor>
    <xdr:from>
      <xdr:col>1</xdr:col>
      <xdr:colOff>1889760</xdr:colOff>
      <xdr:row>2</xdr:row>
      <xdr:rowOff>8526</xdr:rowOff>
    </xdr:from>
    <xdr:to>
      <xdr:col>3</xdr:col>
      <xdr:colOff>1929161</xdr:colOff>
      <xdr:row>3</xdr:row>
      <xdr:rowOff>9861</xdr:rowOff>
    </xdr:to>
    <xdr:sp macro="" textlink="">
      <xdr:nvSpPr>
        <xdr:cNvPr id="6" name="Rounded Rectangle 5">
          <a:extLst>
            <a:ext uri="{FF2B5EF4-FFF2-40B4-BE49-F238E27FC236}">
              <a16:creationId xmlns:a16="http://schemas.microsoft.com/office/drawing/2014/main" id="{472D162E-8F9E-4DA0-8172-6814CDBFB53A}"/>
            </a:ext>
          </a:extLst>
        </xdr:cNvPr>
        <xdr:cNvSpPr/>
      </xdr:nvSpPr>
      <xdr:spPr>
        <a:xfrm>
          <a:off x="2308860" y="389526"/>
          <a:ext cx="3763676" cy="248985"/>
        </a:xfrm>
        <a:prstGeom prst="roundRect">
          <a:avLst>
            <a:gd name="adj" fmla="val 50000"/>
          </a:avLst>
        </a:prstGeom>
        <a:solidFill>
          <a:schemeClr val="bg1">
            <a:lumMod val="50000"/>
            <a:alpha val="50000"/>
          </a:schemeClr>
        </a:solidFill>
        <a:ln w="28575">
          <a:solidFill>
            <a:schemeClr val="bg2">
              <a:lumMod val="10000"/>
            </a:schemeClr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r-TR" sz="1100"/>
        </a:p>
      </xdr:txBody>
    </xdr:sp>
    <xdr:clientData/>
  </xdr:twoCellAnchor>
  <xdr:twoCellAnchor editAs="oneCell">
    <xdr:from>
      <xdr:col>0</xdr:col>
      <xdr:colOff>327660</xdr:colOff>
      <xdr:row>1</xdr:row>
      <xdr:rowOff>106680</xdr:rowOff>
    </xdr:from>
    <xdr:to>
      <xdr:col>0</xdr:col>
      <xdr:colOff>1762830</xdr:colOff>
      <xdr:row>3</xdr:row>
      <xdr:rowOff>153480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4B041CB5-FBC6-4144-8C4D-C76DEEE084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7660" y="297180"/>
          <a:ext cx="1435170" cy="484950"/>
        </a:xfrm>
        <a:prstGeom prst="rect">
          <a:avLst/>
        </a:prstGeom>
      </xdr:spPr>
    </xdr:pic>
    <xdr:clientData/>
  </xdr:twoCellAnchor>
  <xdr:twoCellAnchor>
    <xdr:from>
      <xdr:col>1</xdr:col>
      <xdr:colOff>2095500</xdr:colOff>
      <xdr:row>12</xdr:row>
      <xdr:rowOff>13062</xdr:rowOff>
    </xdr:from>
    <xdr:to>
      <xdr:col>4</xdr:col>
      <xdr:colOff>2095500</xdr:colOff>
      <xdr:row>13</xdr:row>
      <xdr:rowOff>6096</xdr:rowOff>
    </xdr:to>
    <xdr:sp macro="" textlink="">
      <xdr:nvSpPr>
        <xdr:cNvPr id="8" name="Rounded Rectangle 7">
          <a:extLst>
            <a:ext uri="{FF2B5EF4-FFF2-40B4-BE49-F238E27FC236}">
              <a16:creationId xmlns:a16="http://schemas.microsoft.com/office/drawing/2014/main" id="{8223FF26-6F3F-47F4-A596-522C57257FB7}"/>
            </a:ext>
          </a:extLst>
        </xdr:cNvPr>
        <xdr:cNvSpPr/>
      </xdr:nvSpPr>
      <xdr:spPr>
        <a:xfrm>
          <a:off x="2305050" y="3232512"/>
          <a:ext cx="5657850" cy="202584"/>
        </a:xfrm>
        <a:prstGeom prst="roundRect">
          <a:avLst>
            <a:gd name="adj" fmla="val 50000"/>
          </a:avLst>
        </a:prstGeom>
        <a:solidFill>
          <a:schemeClr val="bg1">
            <a:lumMod val="50000"/>
            <a:alpha val="50000"/>
          </a:schemeClr>
        </a:solidFill>
        <a:ln w="28575">
          <a:solidFill>
            <a:sysClr val="windowText" lastClr="000000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r-TR" sz="1100"/>
        </a:p>
      </xdr:txBody>
    </xdr:sp>
    <xdr:clientData/>
  </xdr:twoCellAnchor>
  <xdr:twoCellAnchor>
    <xdr:from>
      <xdr:col>2</xdr:col>
      <xdr:colOff>6568</xdr:colOff>
      <xdr:row>18</xdr:row>
      <xdr:rowOff>13138</xdr:rowOff>
    </xdr:from>
    <xdr:to>
      <xdr:col>4</xdr:col>
      <xdr:colOff>1865585</xdr:colOff>
      <xdr:row>20</xdr:row>
      <xdr:rowOff>6568</xdr:rowOff>
    </xdr:to>
    <xdr:sp macro="" textlink="">
      <xdr:nvSpPr>
        <xdr:cNvPr id="9" name="Rounded Rectangle 8">
          <a:extLst>
            <a:ext uri="{FF2B5EF4-FFF2-40B4-BE49-F238E27FC236}">
              <a16:creationId xmlns:a16="http://schemas.microsoft.com/office/drawing/2014/main" id="{825B37D1-7746-41B9-9CE3-45FB941D9CA2}"/>
            </a:ext>
          </a:extLst>
        </xdr:cNvPr>
        <xdr:cNvSpPr/>
      </xdr:nvSpPr>
      <xdr:spPr>
        <a:xfrm>
          <a:off x="2311618" y="4461313"/>
          <a:ext cx="5630917" cy="469680"/>
        </a:xfrm>
        <a:prstGeom prst="roundRect">
          <a:avLst>
            <a:gd name="adj" fmla="val 50000"/>
          </a:avLst>
        </a:prstGeom>
        <a:solidFill>
          <a:srgbClr val="002060">
            <a:alpha val="50000"/>
          </a:srgbClr>
        </a:solidFill>
        <a:ln w="28575">
          <a:solidFill>
            <a:srgbClr val="002060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r-TR" sz="1100"/>
        </a:p>
      </xdr:txBody>
    </xdr:sp>
    <xdr:clientData/>
  </xdr:twoCellAnchor>
  <xdr:twoCellAnchor>
    <xdr:from>
      <xdr:col>2</xdr:col>
      <xdr:colOff>6569</xdr:colOff>
      <xdr:row>20</xdr:row>
      <xdr:rowOff>13137</xdr:rowOff>
    </xdr:from>
    <xdr:to>
      <xdr:col>4</xdr:col>
      <xdr:colOff>1878725</xdr:colOff>
      <xdr:row>23</xdr:row>
      <xdr:rowOff>6569</xdr:rowOff>
    </xdr:to>
    <xdr:sp macro="" textlink="">
      <xdr:nvSpPr>
        <xdr:cNvPr id="10" name="Rounded Rectangle 9">
          <a:extLst>
            <a:ext uri="{FF2B5EF4-FFF2-40B4-BE49-F238E27FC236}">
              <a16:creationId xmlns:a16="http://schemas.microsoft.com/office/drawing/2014/main" id="{986E68D6-B8D8-4105-B254-684135EEFC10}"/>
            </a:ext>
          </a:extLst>
        </xdr:cNvPr>
        <xdr:cNvSpPr/>
      </xdr:nvSpPr>
      <xdr:spPr>
        <a:xfrm>
          <a:off x="2311619" y="4937562"/>
          <a:ext cx="5644056" cy="707807"/>
        </a:xfrm>
        <a:prstGeom prst="roundRect">
          <a:avLst/>
        </a:prstGeom>
        <a:solidFill>
          <a:srgbClr val="002060">
            <a:alpha val="10000"/>
          </a:srgbClr>
        </a:solidFill>
        <a:ln w="28575">
          <a:solidFill>
            <a:srgbClr val="002060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r-TR" sz="1100"/>
        </a:p>
      </xdr:txBody>
    </xdr:sp>
    <xdr:clientData/>
  </xdr:twoCellAnchor>
  <xdr:twoCellAnchor>
    <xdr:from>
      <xdr:col>2</xdr:col>
      <xdr:colOff>6569</xdr:colOff>
      <xdr:row>20</xdr:row>
      <xdr:rowOff>13137</xdr:rowOff>
    </xdr:from>
    <xdr:to>
      <xdr:col>4</xdr:col>
      <xdr:colOff>1878725</xdr:colOff>
      <xdr:row>23</xdr:row>
      <xdr:rowOff>6569</xdr:rowOff>
    </xdr:to>
    <xdr:sp macro="" textlink="">
      <xdr:nvSpPr>
        <xdr:cNvPr id="11" name="Rounded Rectangle 10">
          <a:extLst>
            <a:ext uri="{FF2B5EF4-FFF2-40B4-BE49-F238E27FC236}">
              <a16:creationId xmlns:a16="http://schemas.microsoft.com/office/drawing/2014/main" id="{03611005-FFD4-4E9C-9FF2-868FC2767F9A}"/>
            </a:ext>
          </a:extLst>
        </xdr:cNvPr>
        <xdr:cNvSpPr/>
      </xdr:nvSpPr>
      <xdr:spPr>
        <a:xfrm>
          <a:off x="2311619" y="4937562"/>
          <a:ext cx="5644056" cy="707807"/>
        </a:xfrm>
        <a:prstGeom prst="roundRect">
          <a:avLst/>
        </a:prstGeom>
        <a:solidFill>
          <a:srgbClr val="002060">
            <a:alpha val="10000"/>
          </a:srgbClr>
        </a:solidFill>
        <a:ln w="28575">
          <a:solidFill>
            <a:srgbClr val="002060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r-TR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.bin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6">
    <tabColor rgb="FF002060"/>
  </sheetPr>
  <dimension ref="A1:P17"/>
  <sheetViews>
    <sheetView zoomScale="80" zoomScaleNormal="80" workbookViewId="0">
      <selection activeCell="D11" sqref="D11"/>
    </sheetView>
  </sheetViews>
  <sheetFormatPr defaultColWidth="0" defaultRowHeight="45.6" customHeight="1" zeroHeight="1" x14ac:dyDescent="0.25"/>
  <cols>
    <col min="1" max="1" width="15.28515625" style="49" customWidth="1"/>
    <col min="2" max="2" width="14.28515625" style="49" customWidth="1"/>
    <col min="3" max="3" width="13.28515625" style="49" customWidth="1"/>
    <col min="4" max="7" width="30.7109375" style="49" customWidth="1"/>
    <col min="8" max="8" width="35.7109375" style="49" customWidth="1"/>
    <col min="9" max="9" width="8.85546875" style="49" customWidth="1"/>
    <col min="10" max="16" width="0" style="49" hidden="1" customWidth="1"/>
    <col min="17" max="16384" width="8.85546875" style="49" hidden="1"/>
  </cols>
  <sheetData>
    <row r="1" spans="2:16" ht="15" x14ac:dyDescent="0.25">
      <c r="C1" s="50"/>
      <c r="D1" s="126" t="s">
        <v>27</v>
      </c>
      <c r="E1" s="126"/>
      <c r="F1" s="126"/>
      <c r="G1" s="51"/>
    </row>
    <row r="2" spans="2:16" ht="19.899999999999999" customHeight="1" x14ac:dyDescent="0.25">
      <c r="C2" s="50"/>
      <c r="D2" s="61" t="s">
        <v>0</v>
      </c>
      <c r="E2" s="61" t="s">
        <v>3</v>
      </c>
      <c r="F2" s="61" t="s">
        <v>4</v>
      </c>
      <c r="G2" s="50"/>
    </row>
    <row r="3" spans="2:16" ht="40.15" customHeight="1" x14ac:dyDescent="0.25">
      <c r="C3" s="50"/>
      <c r="D3" s="63" t="s">
        <v>21</v>
      </c>
      <c r="E3" s="77">
        <v>300000</v>
      </c>
      <c r="F3" s="63">
        <v>12</v>
      </c>
    </row>
    <row r="4" spans="2:16" ht="20.25" x14ac:dyDescent="0.25">
      <c r="C4" s="50"/>
      <c r="D4" s="101"/>
      <c r="E4" s="102"/>
      <c r="F4" s="101"/>
    </row>
    <row r="5" spans="2:16" ht="16.5" x14ac:dyDescent="0.25">
      <c r="C5" s="50"/>
      <c r="D5" s="52"/>
      <c r="E5" s="52"/>
      <c r="F5" s="52"/>
      <c r="G5" s="50"/>
    </row>
    <row r="6" spans="2:16" ht="19.899999999999999" customHeight="1" x14ac:dyDescent="0.25">
      <c r="D6" s="35" t="s">
        <v>26</v>
      </c>
      <c r="E6" s="35" t="s">
        <v>5</v>
      </c>
      <c r="F6" s="35" t="s">
        <v>6</v>
      </c>
      <c r="G6" s="35" t="s">
        <v>47</v>
      </c>
      <c r="H6" s="35" t="s">
        <v>53</v>
      </c>
    </row>
    <row r="7" spans="2:16" ht="40.15" customHeight="1" x14ac:dyDescent="0.25">
      <c r="D7" s="38" t="s">
        <v>68</v>
      </c>
      <c r="E7" s="38">
        <f>+IF(D3="TİCARİ",VLOOKUP(F3,'TİP,VADE,FAİZ'!D:E,2,0),VLOOKUP(F3,'TİP,VADE,FAİZ'!A:B,2,0))</f>
        <v>3.2899999999999999E-2</v>
      </c>
      <c r="F7" s="37">
        <f>IFERROR(PMT(ROUND(E7,5)*HESAP!$G$7,F3,-E3)," ")</f>
        <v>32481.515204272117</v>
      </c>
      <c r="G7" s="37">
        <f>+IFERROR(F7*F3," ")</f>
        <v>389778.1824512654</v>
      </c>
      <c r="H7" s="58">
        <f>+IFERROR(IF(E3=""," ",IF(D3="BİREYSEL",E3-((E3*0.005)+((E3*0.005)*0.15)+279.64),E3-((E3*0.011)+((E3*0.011)*0.15)+279.64)))," ")</f>
        <v>297995.36</v>
      </c>
    </row>
    <row r="8" spans="2:16" ht="15" x14ac:dyDescent="0.25">
      <c r="C8" s="50"/>
      <c r="D8" s="124" t="s">
        <v>40</v>
      </c>
      <c r="E8" s="124"/>
      <c r="F8" s="124"/>
      <c r="G8" s="54"/>
      <c r="H8" s="96" t="str">
        <f>+IF(OR(E3="",E3="Kredi Tutarı"),"","Kesinti Detayları")</f>
        <v>Kesinti Detayları</v>
      </c>
    </row>
    <row r="9" spans="2:16" ht="32.450000000000003" customHeight="1" x14ac:dyDescent="0.25">
      <c r="C9" s="50"/>
      <c r="D9" s="39"/>
      <c r="E9" s="49">
        <f>+IF(D3="TİCARİ",VLOOKUP(F3,'TİP,VADE,FAİZ'!A:B,2,0),VLOOKUP(F3,'TİP,VADE,FAİZ'!D:E,2,0))</f>
        <v>3.4000000000000002E-2</v>
      </c>
      <c r="H9" s="97" t="str">
        <f>IFERROR(IF(E3="","",IF(D3="BİREYSEL",D3&amp;" Taşıt Kredisi Tahsis Ücreti: "&amp;E3*0.005&amp;" TL BSMW: "&amp;(E3*0.005)*0.15&amp;" TL Rehin Tesis Ücreti: 279,64 TL",D3&amp;" Taşıt Kredisi Tahsis Ücreti: "&amp;E3*0.011&amp;" TL BSMW: "&amp;(E3*0.011)*0.15&amp;" TL Rehin Tesis Ücreti: 279,64 TL"))," ")</f>
        <v>BİREYSEL Taşıt Kredisi Tahsis Ücreti: 1500 TL BSMW: 225 TL Rehin Tesis Ücreti: 279,64 TL</v>
      </c>
    </row>
    <row r="10" spans="2:16" ht="19.899999999999999" customHeight="1" x14ac:dyDescent="0.25">
      <c r="B10" s="30"/>
      <c r="C10" s="53"/>
      <c r="D10" s="72" t="s">
        <v>39</v>
      </c>
      <c r="E10" s="72" t="s">
        <v>37</v>
      </c>
      <c r="F10" s="61" t="s">
        <v>38</v>
      </c>
    </row>
    <row r="11" spans="2:16" ht="45.6" customHeight="1" x14ac:dyDescent="0.25">
      <c r="B11" s="29"/>
      <c r="C11" s="53"/>
      <c r="D11" s="62">
        <v>1200000</v>
      </c>
      <c r="E11" s="74">
        <f>+IF(D11&lt;=400000,D11*0.7,IF(D11&lt;=800000,D11*0.5,IF(D11&lt;=1200000,D11*0.3,IF(D11&lt;=2000000,D11*0.2,"Max LTV Aşılmıştır"))))</f>
        <v>360000</v>
      </c>
      <c r="F11" s="76" t="str">
        <f>+IF(D11&lt;=400000,"48 Ay",IF(D11&lt;=800000,"36 Ay",IF(D11&lt;=1200000,"24 Ay",IF(D11&lt;=2000000,"12 Ay","Max LTV Aşılmıştır"))))</f>
        <v>24 Ay</v>
      </c>
      <c r="M11" s="124"/>
      <c r="N11" s="124"/>
      <c r="O11" s="124"/>
      <c r="P11" s="124"/>
    </row>
    <row r="12" spans="2:16" ht="30.6" customHeight="1" x14ac:dyDescent="0.25">
      <c r="D12" s="78"/>
      <c r="E12" s="125" t="s">
        <v>41</v>
      </c>
      <c r="F12" s="125"/>
      <c r="G12" s="56"/>
      <c r="I12" s="90"/>
    </row>
    <row r="13" spans="2:16" ht="45.6" customHeight="1" x14ac:dyDescent="0.25">
      <c r="D13" s="79"/>
      <c r="E13" s="80"/>
      <c r="F13" s="81"/>
      <c r="G13" s="46"/>
    </row>
    <row r="14" spans="2:16" ht="45.6" customHeight="1" x14ac:dyDescent="0.25"/>
    <row r="15" spans="2:16" ht="45.6" customHeight="1" x14ac:dyDescent="0.25"/>
    <row r="16" spans="2:16" ht="45.6" customHeight="1" x14ac:dyDescent="0.25"/>
    <row r="17" ht="45.6" customHeight="1" x14ac:dyDescent="0.25"/>
  </sheetData>
  <sheetProtection algorithmName="SHA-512" hashValue="JmteN8umSqrIcRAAOEiVcawkLKkXtUB+rVKtqQ2om3VmHmxa8TgEUxI9yxpPq1CSEdHizl/UPFuqIIAV1lOqnw==" saltValue="g4MHJud/roVWTZ7/UvQeHg==" spinCount="100000" sheet="1" objects="1" selectLockedCells="1"/>
  <protectedRanges>
    <protectedRange algorithmName="SHA-512" hashValue="2k8Kf8h6xCQmVkRQHLWKzcAthv6s5c71kgKUoNefdntLw/+qgyWQKDc3oSXSbUQ5oMyO/8CgDnUQTWA3XxgTjw==" saltValue="1tBZ0pHUDhJutPCxboZT0Q==" spinCount="100000" sqref="E6:F7" name="Range1_1_2"/>
    <protectedRange algorithmName="SHA-512" hashValue="2k8Kf8h6xCQmVkRQHLWKzcAthv6s5c71kgKUoNefdntLw/+qgyWQKDc3oSXSbUQ5oMyO/8CgDnUQTWA3XxgTjw==" saltValue="1tBZ0pHUDhJutPCxboZT0Q==" spinCount="100000" sqref="D9" name="Range1"/>
  </protectedRanges>
  <mergeCells count="4">
    <mergeCell ref="D8:F8"/>
    <mergeCell ref="M11:P11"/>
    <mergeCell ref="E12:F12"/>
    <mergeCell ref="D1:F1"/>
  </mergeCells>
  <dataValidations count="6">
    <dataValidation type="custom" allowBlank="1" showErrorMessage="1" errorTitle="Kredi Tutarı" error="(Bireysel Max: 400Bin, Ticari Max 4 Mio)_x000a__x000a_" promptTitle="Kredi Tutarı" prompt="_x000a_" sqref="E4" xr:uid="{00000000-0002-0000-0000-000000000000}">
      <formula1>IF(D4="Bireysel",AND(E4&gt;=50000, E4&lt;=400000), AND(E4&gt;=50000,E4&lt;=4000000))</formula1>
    </dataValidation>
    <dataValidation type="list" allowBlank="1" showInputMessage="1" showErrorMessage="1" sqref="D4" xr:uid="{00000000-0002-0000-0000-000001000000}">
      <formula1>"Bireysel,Ticari"</formula1>
    </dataValidation>
    <dataValidation type="custom" allowBlank="1" showErrorMessage="1" errorTitle="Vade" error="Kredi Tipiniz Ticari İse;_x000a_12-48 Ay Vade Arasında Giriş Yapınız._x000a__x000a_Kredi Tipiniz Bireysel İse;_x000a_3-48 Ay Vade Arasında Giriş Yapınız." promptTitle="Vade" sqref="F4" xr:uid="{00000000-0002-0000-0000-000002000000}">
      <formula1>IF(D4="Bireysel",AND(F4&gt;=3, F4&lt;=48), AND(F4&gt;=12,F4&lt;=48))</formula1>
    </dataValidation>
    <dataValidation type="custom" allowBlank="1" showErrorMessage="1" errorTitle="Kredi Tutarı" error="Kredi Tipiniz Bireysel İse;_x000a_Minimum 50.000 TL Maximum 400.000 TL Giriniz._x000a__x000a_Kredi Tipiniz Ticari İse;_x000a_Minimum 50.000 TL Maximum 4.000.000 TL Giriniz._x000a_" promptTitle="Kredi Tutarı" prompt="_x000a_" sqref="E3" xr:uid="{00000000-0002-0000-0000-000003000000}">
      <formula1>IF(D3="Bireysel",AND(E3&gt;=50000, E3&lt;=400000), AND(E3&gt;=50000,E3&lt;=4000000))</formula1>
    </dataValidation>
    <dataValidation type="list" allowBlank="1" showErrorMessage="1" errorTitle="Vade" error="Kredi Tipiniz Ticari İse;_x000a_12-48 Ay Vade Arasında Giriş Yapınız._x000a__x000a_Kredi Tipiniz Bireysel İse;_x000a_3-48 Ay Vade Arasında Giriş Yapınız." promptTitle="Vade" sqref="F3" xr:uid="{00000000-0002-0000-0000-000004000000}">
      <formula1>INDIRECT(CHOOSE(IF(D3="Bireysel", 1, IF(D3="Ticari",2,1)), "'TİP,VADE,FAİZ'!G2:G47", "'TİP,VADE,FAİZ'!H2:H38"))</formula1>
    </dataValidation>
    <dataValidation type="list" allowBlank="1" showInputMessage="1" showErrorMessage="1" sqref="D3" xr:uid="{00000000-0002-0000-0000-000005000000}">
      <formula1>"BİREYSEL,TİCARİ"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tabColor rgb="FF002060"/>
  </sheetPr>
  <dimension ref="A1:O23"/>
  <sheetViews>
    <sheetView showGridLines="0" tabSelected="1" zoomScale="80" zoomScaleNormal="80" workbookViewId="0">
      <selection activeCell="D12" sqref="D12"/>
    </sheetView>
  </sheetViews>
  <sheetFormatPr defaultColWidth="0" defaultRowHeight="12.75" zeroHeight="1" x14ac:dyDescent="0.2"/>
  <cols>
    <col min="1" max="1" width="13.42578125" style="28" customWidth="1"/>
    <col min="2" max="2" width="14.28515625" style="28" customWidth="1"/>
    <col min="3" max="3" width="15.7109375" style="28" customWidth="1"/>
    <col min="4" max="4" width="32.85546875" style="28" customWidth="1"/>
    <col min="5" max="5" width="35.7109375" style="28" bestFit="1" customWidth="1"/>
    <col min="6" max="6" width="30.7109375" style="28" hidden="1" customWidth="1"/>
    <col min="7" max="7" width="35.7109375" style="28" customWidth="1"/>
    <col min="8" max="8" width="30.7109375" style="28" customWidth="1"/>
    <col min="9" max="9" width="34.85546875" style="29" customWidth="1"/>
    <col min="10" max="10" width="10.7109375" style="28" customWidth="1"/>
    <col min="11" max="11" width="10.7109375" style="29" hidden="1" customWidth="1"/>
    <col min="12" max="12" width="15.85546875" style="29" hidden="1" customWidth="1"/>
    <col min="13" max="13" width="19.42578125" style="29" hidden="1" customWidth="1"/>
    <col min="14" max="14" width="11.85546875" style="29" hidden="1" customWidth="1"/>
    <col min="15" max="15" width="20" style="28" hidden="1" customWidth="1"/>
    <col min="16" max="16384" width="15.7109375" style="28" hidden="1"/>
  </cols>
  <sheetData>
    <row r="1" spans="2:14" x14ac:dyDescent="0.2"/>
    <row r="2" spans="2:14" ht="15" customHeight="1" x14ac:dyDescent="0.2">
      <c r="C2" s="127" t="s">
        <v>27</v>
      </c>
      <c r="D2" s="127"/>
      <c r="E2" s="127"/>
      <c r="F2" s="127"/>
      <c r="G2" s="127"/>
      <c r="H2" s="127"/>
      <c r="I2" s="127"/>
    </row>
    <row r="3" spans="2:14" ht="25.15" customHeight="1" x14ac:dyDescent="0.2">
      <c r="B3" s="41" t="s">
        <v>1</v>
      </c>
      <c r="D3" s="61" t="s">
        <v>0</v>
      </c>
      <c r="E3" s="61" t="s">
        <v>2</v>
      </c>
      <c r="F3" s="61"/>
      <c r="G3" s="61" t="s">
        <v>25</v>
      </c>
      <c r="H3" s="61" t="s">
        <v>3</v>
      </c>
      <c r="I3" s="61" t="s">
        <v>4</v>
      </c>
      <c r="J3" s="29"/>
      <c r="L3" s="28"/>
      <c r="M3" s="28"/>
      <c r="N3" s="28"/>
    </row>
    <row r="4" spans="2:14" ht="66.599999999999994" customHeight="1" x14ac:dyDescent="0.2">
      <c r="B4" s="42" t="s">
        <v>73</v>
      </c>
      <c r="D4" s="68" t="s">
        <v>69</v>
      </c>
      <c r="E4" s="68" t="s">
        <v>70</v>
      </c>
      <c r="F4" s="70" t="str">
        <f>B4&amp;E4</f>
        <v>MGMG7</v>
      </c>
      <c r="G4" s="69" t="s">
        <v>71</v>
      </c>
      <c r="H4" s="71">
        <v>500000</v>
      </c>
      <c r="I4" s="68">
        <v>12</v>
      </c>
      <c r="J4" s="29"/>
      <c r="L4" s="28"/>
      <c r="M4" s="28"/>
      <c r="N4" s="28"/>
    </row>
    <row r="5" spans="2:14" x14ac:dyDescent="0.2">
      <c r="H5" s="32"/>
    </row>
    <row r="6" spans="2:14" ht="17.45" customHeight="1" x14ac:dyDescent="0.2">
      <c r="I6" s="28"/>
    </row>
    <row r="7" spans="2:14" s="31" customFormat="1" ht="25.15" customHeight="1" x14ac:dyDescent="0.25">
      <c r="B7" s="34"/>
      <c r="C7" s="35"/>
      <c r="D7" s="36" t="s">
        <v>26</v>
      </c>
      <c r="E7" s="35" t="s">
        <v>34</v>
      </c>
      <c r="F7" s="35"/>
      <c r="G7" s="36" t="s">
        <v>33</v>
      </c>
      <c r="H7" s="36" t="s">
        <v>47</v>
      </c>
      <c r="I7" s="35" t="s">
        <v>53</v>
      </c>
      <c r="K7" s="30"/>
      <c r="L7" s="30"/>
      <c r="M7" s="30"/>
      <c r="N7" s="30"/>
    </row>
    <row r="8" spans="2:14" ht="69" customHeight="1" x14ac:dyDescent="0.2">
      <c r="B8" s="34"/>
      <c r="C8" s="39"/>
      <c r="D8" s="40" t="str">
        <f>+IF(OR(E8="Seçimlerinizi Kontrol Ediniz",E8="Kredi Tutarını Düzeltiniz"),"",IFERROR(+VLOOKUP(B4&amp;E4&amp;G4,'KATKI PAYI'!T:W,4,0),"PSA BAZ"))</f>
        <v>BAŞVURU</v>
      </c>
      <c r="E8" s="38">
        <f>_xlfn.IFNA(IF(AND(D4="Bireysel",OR(VLOOKUP(F4&amp;G4,'KATKI PAYI'!T:U,2,0)=0,H4&gt;400000)),"Seçimlerinizi Kontrol Ediniz",IFERROR(+ROUND((IF(ISERROR(IF(RATE(I4,HESAP!T3,-H4)&lt;0,0,(RATE(I4,HESAP!T3,-H4)))),(IF(RATE(I4,HESAP!T3,-(1+H4))&lt;0,0,(RATE(I4,HESAP!T3,-(1+H4))))),IF(RATE(I4,HESAP!T3,-H4)&lt;0,0,(RATE(I4,HESAP!T3,-H4))))),16),"Seçimlerinizi Kontrol Ediniz")),"Seçimlerinizi Kontrol Ediniz")</f>
        <v>1.4899999999999801E-2</v>
      </c>
      <c r="F8" s="38"/>
      <c r="G8" s="37">
        <f>IFERROR(+ROUND((PMT(ROUND(E8,5)*HESAP!$U$3,I4,-H4)),16)," ")</f>
        <v>46024.376230769602</v>
      </c>
      <c r="H8" s="37">
        <f>+IFERROR(G8*I4," ")</f>
        <v>552292.51476923516</v>
      </c>
      <c r="I8" s="37">
        <f>+IFERROR(IF(OR(E8="Seçimlerinizi Kontrol Ediniz",E8="Kredi Tutarını Düzeltiniz"),"",IF(D4="Bireysel",H4-((H4*0.005)+((H4*0.005)*0.15)+279.64),H4-((H4*0.011)+((H4*0.011)*0.15)+279.64)))," ")</f>
        <v>493395.36</v>
      </c>
    </row>
    <row r="9" spans="2:14" ht="13.5" x14ac:dyDescent="0.25">
      <c r="B9" s="34"/>
      <c r="D9" s="124" t="s">
        <v>40</v>
      </c>
      <c r="E9" s="124"/>
      <c r="F9" s="124"/>
      <c r="G9" s="124"/>
      <c r="H9" s="93" t="str">
        <f>+IF(OR(I4="",H4="",H4="Kredi Tutarı"),"","Müşteri Toplam Avantajı")</f>
        <v>Müşteri Toplam Avantajı</v>
      </c>
      <c r="I9" s="93" t="str">
        <f>+IF(OR(H4="",H4="Kredi Tutarı"),"","Kesinti Detayları")</f>
        <v>Kesinti Detayları</v>
      </c>
    </row>
    <row r="10" spans="2:14" ht="48" customHeight="1" x14ac:dyDescent="0.25">
      <c r="B10" s="34"/>
      <c r="D10" s="47"/>
      <c r="E10" s="47"/>
      <c r="F10" s="47"/>
      <c r="G10" s="47"/>
      <c r="H10" s="94">
        <f>IFERROR(IF(OR(I4="",G8=""),"",(HESAP!I3*HESAP!G3)-(HESAP!J3*HESAP!G3))," ")</f>
        <v>71171.819899003254</v>
      </c>
      <c r="I10" s="95" t="str">
        <f>IFERROR(IF(H4="","",IF(D4="BİREYSEL",D4&amp;" Taşıt Kredisi Tahsis Ücreti: "&amp;H4*0.005&amp;" TL BSMW: "&amp;(H4*0.005)*0.15&amp;" TL Rehin Tesis Ücreti: 279,64 TL",D4&amp;" Taşıt Kredisi Tahsis Ücreti: "&amp;H4*0.011&amp;" TL BSMW: "&amp;(H4*0.011)*0.15&amp;" TL Rehin Tesis Ücreti: 279,64 TL"))," ")</f>
        <v>TİCARİ Taşıt Kredisi Tahsis Ücreti: 5500 TL BSMW: 825 TL Rehin Tesis Ücreti: 279,64 TL</v>
      </c>
    </row>
    <row r="11" spans="2:14" ht="25.15" customHeight="1" x14ac:dyDescent="0.25">
      <c r="B11" s="34"/>
      <c r="C11" s="43"/>
      <c r="D11" s="72" t="s">
        <v>39</v>
      </c>
      <c r="E11" s="72" t="s">
        <v>37</v>
      </c>
      <c r="F11" s="73"/>
      <c r="G11" s="61" t="s">
        <v>38</v>
      </c>
      <c r="J11" s="29"/>
    </row>
    <row r="12" spans="2:14" ht="49.9" customHeight="1" x14ac:dyDescent="0.2">
      <c r="B12" s="34"/>
      <c r="C12" s="43"/>
      <c r="D12" s="62">
        <v>2000000</v>
      </c>
      <c r="E12" s="74">
        <f>+IF(D12&lt;=400000,D12*0.7,IF(D12&lt;=800000,D12*0.5,IF(D12&lt;=1200000,D12*0.3,IF(D12&lt;=2000000,D12*0.2,"Max LTV Aşılmıştır"))))</f>
        <v>400000</v>
      </c>
      <c r="F12" s="75"/>
      <c r="G12" s="76" t="str">
        <f>+IF(D12&lt;=400000,"48 Ay",IF(D12&lt;=800000,"36 Ay",IF(D12&lt;=1200000,"24 Ay",IF(D12&lt;=2000000,"12 Ay","Max LTV Aşılmıştır"))))</f>
        <v>12 Ay</v>
      </c>
      <c r="J12" s="29"/>
    </row>
    <row r="13" spans="2:14" ht="29.45" customHeight="1" x14ac:dyDescent="0.2">
      <c r="B13" s="34"/>
      <c r="C13" s="43"/>
      <c r="D13" s="48"/>
      <c r="E13" s="125" t="s">
        <v>41</v>
      </c>
      <c r="F13" s="125"/>
      <c r="G13" s="125"/>
      <c r="J13" s="29"/>
    </row>
    <row r="14" spans="2:14" s="46" customFormat="1" ht="47.45" customHeight="1" x14ac:dyDescent="0.25">
      <c r="D14" s="45"/>
      <c r="E14" s="44"/>
      <c r="I14" s="51"/>
      <c r="J14" s="51"/>
      <c r="K14" s="29"/>
      <c r="L14" s="29"/>
      <c r="M14" s="29"/>
      <c r="N14" s="29"/>
    </row>
    <row r="15" spans="2:14" x14ac:dyDescent="0.2">
      <c r="I15" s="51"/>
      <c r="J15" s="51"/>
    </row>
    <row r="16" spans="2:14" x14ac:dyDescent="0.2"/>
    <row r="17" spans="9:9" x14ac:dyDescent="0.2"/>
    <row r="18" spans="9:9" x14ac:dyDescent="0.2">
      <c r="I18" s="87"/>
    </row>
    <row r="19" spans="9:9" x14ac:dyDescent="0.2">
      <c r="I19" s="87"/>
    </row>
    <row r="20" spans="9:9" x14ac:dyDescent="0.2"/>
    <row r="21" spans="9:9" x14ac:dyDescent="0.2"/>
    <row r="22" spans="9:9" x14ac:dyDescent="0.2"/>
    <row r="23" spans="9:9" x14ac:dyDescent="0.2"/>
  </sheetData>
  <sheetProtection algorithmName="SHA-512" hashValue="ui8dqmZb9NPTwUgZuElufSKMXj6s9KCF8tjYatYCC6LBM++koTCM8D97JPvR1oU4g7I1IZ+SmSgtg28zX7HDCw==" saltValue="6OtZv7ppJYhIHjgfXjrt1g==" spinCount="100000" sheet="1" objects="1" selectLockedCells="1"/>
  <protectedRanges>
    <protectedRange algorithmName="SHA-512" hashValue="2k8Kf8h6xCQmVkRQHLWKzcAthv6s5c71kgKUoNefdntLw/+qgyWQKDc3oSXSbUQ5oMyO/8CgDnUQTWA3XxgTjw==" saltValue="1tBZ0pHUDhJutPCxboZT0Q==" spinCount="100000" sqref="G7:G8 C7:E8 F7:F8" name="Range1"/>
  </protectedRanges>
  <dataConsolidate/>
  <customSheetViews>
    <customSheetView guid="{DC951F13-F49E-4E21-8FB7-0605E290FF0E}" showPageBreaks="1" printArea="1" hiddenColumns="1" view="pageLayout" topLeftCell="A4">
      <selection activeCell="F20" sqref="F20"/>
      <pageMargins left="0.7" right="0.7" top="0.75" bottom="0.75" header="0.3" footer="0.3"/>
      <pageSetup paperSize="9" scale="37" orientation="portrait" r:id="rId1"/>
    </customSheetView>
  </customSheetViews>
  <mergeCells count="3">
    <mergeCell ref="C2:I2"/>
    <mergeCell ref="E13:G13"/>
    <mergeCell ref="D9:G9"/>
  </mergeCells>
  <dataValidations xWindow="508" yWindow="523" count="4">
    <dataValidation type="custom" allowBlank="1" showErrorMessage="1" errorTitle="Kredi Tutarı" error="Kredi Tipiniz Bireysel İse;_x000a_Minimum 50.000 TL Maximum 400.000 TL Giriniz._x000a__x000a_Kredi Tipiniz Ticari İse;_x000a_Minimum 50.000 TL Maximum 4.000.000 TL Giriniz." promptTitle="Kredi Tutarı" prompt="50.000 - 400.000 TL arasında tutar girişi yapınız._x000a_" sqref="H4" xr:uid="{00000000-0002-0000-0100-000000000000}">
      <formula1>IF(D4="Bireysel",AND(H4&gt;=50000, H4&lt;=400000), AND(H4&gt;=50000,H4&lt;=4000000))</formula1>
    </dataValidation>
    <dataValidation type="list" allowBlank="1" showInputMessage="1" showErrorMessage="1" sqref="D4" xr:uid="{00000000-0002-0000-0100-000001000000}">
      <formula1>"TİCARİ"</formula1>
    </dataValidation>
    <dataValidation type="list" allowBlank="1" showErrorMessage="1" errorTitle="Vade" error="Kredi Tipiniz Ticari İse;_x000a_12-48 Ay Vade Arasında Giriş Yapınız._x000a__x000a_Kredi Tipiniz Bireysel İse;_x000a_3-48 Ay Vade Arasında Giriş Yapınız." promptTitle="Vade" sqref="I4" xr:uid="{00000000-0002-0000-0100-000002000000}">
      <formula1>INDIRECT(CHOOSE(IF(D4="Bireysel", 1, IF(D4="Ticari",2,1)), "'TİP,VADE,FAİZ'!G2:G47", "'TİP,VADE,FAİZ'!H2:H38"))</formula1>
    </dataValidation>
    <dataValidation type="list" allowBlank="1" showInputMessage="1" showErrorMessage="1" errorTitle="Model Adı" error="Tam Doğru Adı Giriniz._x000a_Ok Tuşuna Basarak Açılır Listeden Seçim Yapılabilir._x000a_Hatalı Yazılan Model Silinmelidir." sqref="E4" xr:uid="{00000000-0002-0000-0100-000003000000}">
      <formula1>Model</formula1>
    </dataValidation>
  </dataValidations>
  <pageMargins left="0.7" right="0.7" top="0.75" bottom="0.75" header="0.3" footer="0.3"/>
  <pageSetup paperSize="9" scale="35" orientation="portrait" r:id="rId2"/>
  <drawing r:id="rId3"/>
  <extLst>
    <ext xmlns:x14="http://schemas.microsoft.com/office/spreadsheetml/2009/9/main" uri="{CCE6A557-97BC-4b89-ADB6-D9C93CAAB3DF}">
      <x14:dataValidations xmlns:xm="http://schemas.microsoft.com/office/excel/2006/main" xWindow="508" yWindow="523" count="1">
        <x14:dataValidation type="list" allowBlank="1" showInputMessage="1" showErrorMessage="1" xr:uid="{00000000-0002-0000-0100-000004000000}">
          <x14:formula1>
            <xm:f>OFFSET('KATKI PAYI'!$S$2,0,0,COUNTA('KATKI PAYI'!$S$2:$S$19),1)</xm:f>
          </x14:formula1>
          <xm:sqref>G4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2060"/>
  </sheetPr>
  <dimension ref="A1:H25"/>
  <sheetViews>
    <sheetView zoomScale="80" zoomScaleNormal="80" workbookViewId="0">
      <selection activeCell="D4" sqref="D4"/>
    </sheetView>
  </sheetViews>
  <sheetFormatPr defaultColWidth="0" defaultRowHeight="15" customHeight="1" zeroHeight="1" x14ac:dyDescent="0.25"/>
  <cols>
    <col min="1" max="1" width="26.85546875" style="82" customWidth="1"/>
    <col min="2" max="2" width="7.7109375" style="82" customWidth="1"/>
    <col min="3" max="6" width="28.28515625" style="50" customWidth="1"/>
    <col min="7" max="7" width="34.28515625" style="50" bestFit="1" customWidth="1"/>
    <col min="8" max="8" width="30.7109375" style="82" customWidth="1"/>
    <col min="9" max="16384" width="8.85546875" style="82" hidden="1"/>
  </cols>
  <sheetData>
    <row r="1" spans="1:8" x14ac:dyDescent="0.25"/>
    <row r="2" spans="1:8" x14ac:dyDescent="0.25">
      <c r="A2" s="50"/>
      <c r="B2" s="50"/>
      <c r="C2" s="126" t="s">
        <v>27</v>
      </c>
      <c r="D2" s="126"/>
      <c r="E2" s="84"/>
      <c r="F2" s="60"/>
      <c r="G2" s="60"/>
    </row>
    <row r="3" spans="1:8" ht="19.899999999999999" customHeight="1" x14ac:dyDescent="0.25">
      <c r="A3" s="50"/>
      <c r="B3" s="50"/>
      <c r="C3" s="61" t="s">
        <v>49</v>
      </c>
      <c r="D3" s="61" t="s">
        <v>4</v>
      </c>
    </row>
    <row r="4" spans="1:8" ht="30" customHeight="1" x14ac:dyDescent="0.25">
      <c r="A4" s="50"/>
      <c r="B4" s="50"/>
      <c r="C4" s="89">
        <v>250000</v>
      </c>
      <c r="D4" s="55">
        <v>11</v>
      </c>
    </row>
    <row r="5" spans="1:8" ht="6.6" customHeight="1" x14ac:dyDescent="0.25">
      <c r="A5" s="50"/>
      <c r="B5" s="50"/>
      <c r="D5" s="67"/>
      <c r="E5" s="83"/>
    </row>
    <row r="6" spans="1:8" ht="4.1500000000000004" customHeight="1" x14ac:dyDescent="0.25">
      <c r="A6" s="50"/>
      <c r="B6" s="50"/>
    </row>
    <row r="7" spans="1:8" ht="19.899999999999999" customHeight="1" x14ac:dyDescent="0.25">
      <c r="C7" s="35" t="s">
        <v>44</v>
      </c>
      <c r="D7" s="35" t="s">
        <v>43</v>
      </c>
      <c r="E7" s="35" t="s">
        <v>45</v>
      </c>
      <c r="F7" s="35" t="s">
        <v>51</v>
      </c>
      <c r="G7" s="35" t="s">
        <v>53</v>
      </c>
    </row>
    <row r="8" spans="1:8" ht="30" customHeight="1" x14ac:dyDescent="0.25">
      <c r="C8" s="59">
        <f>+IF(D4=11,E21,IF(D4=17,E22,IF(D4=23,E23,"")))</f>
        <v>5.8999999999999999E-3</v>
      </c>
      <c r="D8" s="58">
        <f>+ROUND((PMT(ROUND(C8,5)*1.3,D4,-C4)),16)</f>
        <v>23786.499427854102</v>
      </c>
      <c r="E8" s="37">
        <f>+(D8*D4)+F8</f>
        <v>308001.49370639515</v>
      </c>
      <c r="F8" s="58">
        <f>+IF(D4=11,C4*D21,IF(D4=17,C4*D22,IF(D4=23,C4*D23)))</f>
        <v>46350</v>
      </c>
      <c r="G8" s="58">
        <f>IFERROR(C4-((C4*0.005)+((C4*0.005)*0.15)+279.64+F8)," ")</f>
        <v>201932.86</v>
      </c>
      <c r="H8" s="86"/>
    </row>
    <row r="9" spans="1:8" ht="19.899999999999999" customHeight="1" x14ac:dyDescent="0.25">
      <c r="C9" s="129" t="str">
        <f>+D4&amp;" Ay Vadeye ve İndirimli Faiz Oranına Göre Hesaplanmıştır."</f>
        <v>11 Ay Vadeye ve İndirimli Faiz Oranına Göre Hesaplanmıştır.</v>
      </c>
      <c r="D9" s="129"/>
      <c r="E9" s="129"/>
      <c r="F9" s="129"/>
      <c r="H9" s="85"/>
    </row>
    <row r="10" spans="1:8" ht="26.45" customHeight="1" x14ac:dyDescent="0.25">
      <c r="C10" s="130" t="s">
        <v>48</v>
      </c>
      <c r="D10" s="130"/>
      <c r="E10" s="98" t="str">
        <f>+IF(OR(C4="",C4="Kredi Tutarı"),"","Müşteri Toplam Avantajı")</f>
        <v>Müşteri Toplam Avantajı</v>
      </c>
      <c r="F10" s="99"/>
      <c r="G10" s="98" t="str">
        <f>+IF(OR(C4="",C4="Kredi Tutarı"),"","Kesinti Detayları")</f>
        <v>Kesinti Detayları</v>
      </c>
    </row>
    <row r="11" spans="1:8" ht="54" x14ac:dyDescent="0.25">
      <c r="C11" s="52"/>
      <c r="D11" s="52"/>
      <c r="E11" s="100">
        <f>+E14-E8</f>
        <v>16813.658336326072</v>
      </c>
      <c r="F11" s="99"/>
      <c r="G11" s="95" t="str">
        <f>+"Bireysel Taşıt Kredisi Tahsis Ücreti: "&amp;C4*0.005&amp;" TL BSMW: "&amp;(C4*0.005)*0.15&amp;" TL Rehin Tesis Ücreti: 279,64 TL"&amp;" ve müşteriden alınan peşin katkı payı kesilmektir."</f>
        <v>Bireysel Taşıt Kredisi Tahsis Ücreti: 1250 TL BSMW: 187,5 TL Rehin Tesis Ücreti: 279,64 TL ve müşteriden alınan peşin katkı payı kesilmektir.</v>
      </c>
    </row>
    <row r="12" spans="1:8" x14ac:dyDescent="0.25"/>
    <row r="13" spans="1:8" ht="16.5" x14ac:dyDescent="0.25">
      <c r="C13" s="61" t="s">
        <v>52</v>
      </c>
      <c r="D13" s="61" t="s">
        <v>6</v>
      </c>
      <c r="E13" s="61" t="s">
        <v>50</v>
      </c>
    </row>
    <row r="14" spans="1:8" ht="20.25" x14ac:dyDescent="0.25">
      <c r="C14" s="64">
        <f>IFERROR(+VLOOKUP(D4,'TİP,VADE,FAİZ'!J:K,2,0)," ")</f>
        <v>3.2899999999999999E-2</v>
      </c>
      <c r="D14" s="65">
        <f>PMT(ROUND(C14,5)*1.3,D4+1,-C4)</f>
        <v>27067.929336893434</v>
      </c>
      <c r="E14" s="66">
        <f>IFERROR(D14*(D4+1)," ")</f>
        <v>324815.15204272122</v>
      </c>
      <c r="G14" s="91"/>
    </row>
    <row r="15" spans="1:8" x14ac:dyDescent="0.25">
      <c r="C15" s="131" t="str">
        <f>+D4+1&amp;" Ay Vadeye ve Baz Faiz Oranına Göre Hesaplanmıştır."</f>
        <v>12 Ay Vadeye ve Baz Faiz Oranına Göre Hesaplanmıştır.</v>
      </c>
      <c r="D15" s="131"/>
      <c r="E15" s="131"/>
    </row>
    <row r="16" spans="1:8" x14ac:dyDescent="0.25">
      <c r="C16" s="132" t="s">
        <v>48</v>
      </c>
      <c r="D16" s="132"/>
      <c r="E16" s="132"/>
    </row>
    <row r="17" spans="3:8" x14ac:dyDescent="0.25"/>
    <row r="18" spans="3:8" x14ac:dyDescent="0.25">
      <c r="G18" s="91"/>
      <c r="H18" s="92"/>
    </row>
    <row r="19" spans="3:8" ht="18.75" x14ac:dyDescent="0.25">
      <c r="C19" s="128" t="s">
        <v>54</v>
      </c>
      <c r="D19" s="128"/>
      <c r="E19" s="128"/>
    </row>
    <row r="20" spans="3:8" ht="18.75" x14ac:dyDescent="0.25">
      <c r="C20" s="105" t="s">
        <v>4</v>
      </c>
      <c r="D20" s="105" t="s">
        <v>55</v>
      </c>
      <c r="E20" s="105" t="s">
        <v>34</v>
      </c>
    </row>
    <row r="21" spans="3:8" ht="18.75" x14ac:dyDescent="0.25">
      <c r="C21" s="106" t="s">
        <v>56</v>
      </c>
      <c r="D21" s="107">
        <v>0.18540000000000001</v>
      </c>
      <c r="E21" s="108">
        <v>5.8999999999999999E-3</v>
      </c>
    </row>
    <row r="22" spans="3:8" ht="18.75" x14ac:dyDescent="0.25">
      <c r="C22" s="106" t="s">
        <v>57</v>
      </c>
      <c r="D22" s="107">
        <v>8.14E-2</v>
      </c>
      <c r="E22" s="108">
        <v>2.4899999999999999E-2</v>
      </c>
    </row>
    <row r="23" spans="3:8" ht="18.75" x14ac:dyDescent="0.25">
      <c r="C23" s="106" t="s">
        <v>58</v>
      </c>
      <c r="D23" s="107">
        <v>6.5699999999999995E-2</v>
      </c>
      <c r="E23" s="108">
        <v>2.7900000000000001E-2</v>
      </c>
    </row>
    <row r="24" spans="3:8" x14ac:dyDescent="0.25"/>
    <row r="25" spans="3:8" x14ac:dyDescent="0.25"/>
  </sheetData>
  <sheetProtection algorithmName="SHA-512" hashValue="dCxL7n/fcjQGsDubZwBMEz9qSHt5sA3MHh7Ux5Ns6S0Zr2wE9BD6Y/c10RWmSn2fTbHvziLugJKJTGjcKwPdkg==" saltValue="lcT8A9zWVgk2AoXeAQr1Qw==" spinCount="100000" sheet="1" objects="1" selectLockedCells="1"/>
  <protectedRanges>
    <protectedRange algorithmName="SHA-512" hashValue="2k8Kf8h6xCQmVkRQHLWKzcAthv6s5c71kgKUoNefdntLw/+qgyWQKDc3oSXSbUQ5oMyO/8CgDnUQTWA3XxgTjw==" saltValue="1tBZ0pHUDhJutPCxboZT0Q==" spinCount="100000" sqref="C14:E14 C7:E7 C13:D13" name="Range1_1_2_1"/>
    <protectedRange algorithmName="SHA-512" hashValue="2k8Kf8h6xCQmVkRQHLWKzcAthv6s5c71kgKUoNefdntLw/+qgyWQKDc3oSXSbUQ5oMyO/8CgDnUQTWA3XxgTjw==" saltValue="1tBZ0pHUDhJutPCxboZT0Q==" spinCount="100000" sqref="C16 C10" name="Range1_1"/>
  </protectedRanges>
  <mergeCells count="6">
    <mergeCell ref="C19:E19"/>
    <mergeCell ref="C2:D2"/>
    <mergeCell ref="C9:F9"/>
    <mergeCell ref="C10:D10"/>
    <mergeCell ref="C15:E15"/>
    <mergeCell ref="C16:E16"/>
  </mergeCells>
  <dataValidations count="3">
    <dataValidation type="custom" allowBlank="1" showErrorMessage="1" errorTitle="Vade" error="Kredi Tipiniz Ticari İse;_x000a_12-48 Ay Vade Arasında Giriş Yapınız._x000a__x000a_Kredi Tipiniz Bireysel İse;_x000a_3-48 Ay Vade Arasında Giriş Yapınız." promptTitle="Vade" sqref="C9" xr:uid="{00000000-0002-0000-0200-000000000000}">
      <formula1>IF(E5="Bireysel",AND(C9&gt;=3, C9&lt;=48), AND(C9&gt;=12,C9&lt;=48))</formula1>
    </dataValidation>
    <dataValidation type="list" allowBlank="1" showErrorMessage="1" errorTitle="Vade" error="Lütfen Açılır Listeden Uygun Vadeyi Seçiniz." promptTitle="Vade" sqref="D4" xr:uid="{00000000-0002-0000-0200-000001000000}">
      <formula1>"11,17,23"</formula1>
    </dataValidation>
    <dataValidation type="whole" allowBlank="1" showErrorMessage="1" errorTitle="Kredi Tutarı" error="Lütfen Açılır Listeden Uygun Kredi Tutarını Seçiniz._x000a__x000a_" promptTitle="Kredi Tutarı" prompt="_x000a_" sqref="C4" xr:uid="{00000000-0002-0000-0200-000002000000}">
      <formula1>50000</formula1>
      <formula2>400000</formula2>
    </dataValidation>
  </dataValidation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7">
    <tabColor rgb="FF002060"/>
  </sheetPr>
  <dimension ref="A1:H25"/>
  <sheetViews>
    <sheetView zoomScale="80" zoomScaleNormal="80" workbookViewId="0">
      <selection activeCell="C4" sqref="C4"/>
    </sheetView>
  </sheetViews>
  <sheetFormatPr defaultColWidth="0" defaultRowHeight="15" zeroHeight="1" x14ac:dyDescent="0.25"/>
  <cols>
    <col min="1" max="1" width="26.85546875" style="82" customWidth="1"/>
    <col min="2" max="2" width="7.7109375" style="82" customWidth="1"/>
    <col min="3" max="6" width="28.28515625" style="50" customWidth="1"/>
    <col min="7" max="7" width="34.28515625" style="50" bestFit="1" customWidth="1"/>
    <col min="8" max="8" width="30.7109375" style="82" customWidth="1"/>
    <col min="9" max="16384" width="8.85546875" style="82" hidden="1"/>
  </cols>
  <sheetData>
    <row r="1" spans="1:8" x14ac:dyDescent="0.25"/>
    <row r="2" spans="1:8" x14ac:dyDescent="0.25">
      <c r="A2" s="50"/>
      <c r="B2" s="50"/>
      <c r="C2" s="126" t="s">
        <v>27</v>
      </c>
      <c r="D2" s="126"/>
      <c r="E2" s="84"/>
      <c r="F2" s="60"/>
      <c r="G2" s="60"/>
    </row>
    <row r="3" spans="1:8" ht="19.899999999999999" customHeight="1" x14ac:dyDescent="0.25">
      <c r="A3" s="50"/>
      <c r="B3" s="50"/>
      <c r="C3" s="61" t="s">
        <v>49</v>
      </c>
      <c r="D3" s="61" t="s">
        <v>4</v>
      </c>
    </row>
    <row r="4" spans="1:8" ht="30" customHeight="1" x14ac:dyDescent="0.25">
      <c r="A4" s="50"/>
      <c r="B4" s="50"/>
      <c r="C4" s="89">
        <v>250000</v>
      </c>
      <c r="D4" s="55">
        <v>11</v>
      </c>
    </row>
    <row r="5" spans="1:8" ht="6.6" customHeight="1" x14ac:dyDescent="0.25">
      <c r="A5" s="50"/>
      <c r="B5" s="50"/>
      <c r="D5" s="67"/>
      <c r="E5" s="83"/>
    </row>
    <row r="6" spans="1:8" ht="4.1500000000000004" customHeight="1" x14ac:dyDescent="0.25">
      <c r="A6" s="50"/>
      <c r="B6" s="50"/>
    </row>
    <row r="7" spans="1:8" ht="19.899999999999999" customHeight="1" x14ac:dyDescent="0.25">
      <c r="C7" s="35" t="s">
        <v>44</v>
      </c>
      <c r="D7" s="35" t="s">
        <v>43</v>
      </c>
      <c r="E7" s="35" t="s">
        <v>45</v>
      </c>
      <c r="F7" s="35" t="s">
        <v>51</v>
      </c>
      <c r="G7" s="35" t="s">
        <v>53</v>
      </c>
    </row>
    <row r="8" spans="1:8" ht="30" customHeight="1" x14ac:dyDescent="0.25">
      <c r="C8" s="59">
        <f>+IF(D4=11,E21,IF(D4=17,E22,IF(D4=23,E23,"")))</f>
        <v>9.9000000000000008E-3</v>
      </c>
      <c r="D8" s="58">
        <f>+ROUND((PMT(ROUND(C8,5)*1.3,D4,-C4)),16)</f>
        <v>24519.664860328801</v>
      </c>
      <c r="E8" s="37">
        <f>+(D8*D4)+F8</f>
        <v>309441.31346361683</v>
      </c>
      <c r="F8" s="58">
        <f>+IF(D4=11,C4*D21,IF(D4=17,C4*D22,IF(D4=23,C4*D23)))</f>
        <v>39725</v>
      </c>
      <c r="G8" s="58">
        <f>IFERROR(C4-((C4*0.005)+((C4*0.005)*0.15)+279.64+F8)," ")</f>
        <v>208557.86</v>
      </c>
      <c r="H8" s="86"/>
    </row>
    <row r="9" spans="1:8" ht="19.899999999999999" customHeight="1" x14ac:dyDescent="0.25">
      <c r="C9" s="129" t="str">
        <f>+D4&amp;" Ay Vadeye ve İndirimli Faiz Oranına Göre Hesaplanmıştır."</f>
        <v>11 Ay Vadeye ve İndirimli Faiz Oranına Göre Hesaplanmıştır.</v>
      </c>
      <c r="D9" s="129"/>
      <c r="E9" s="129"/>
      <c r="F9" s="129"/>
      <c r="H9" s="85"/>
    </row>
    <row r="10" spans="1:8" ht="26.45" customHeight="1" x14ac:dyDescent="0.25">
      <c r="C10" s="130" t="s">
        <v>48</v>
      </c>
      <c r="D10" s="130"/>
      <c r="E10" s="98" t="str">
        <f>+IF(OR(C4="",C4="Kredi Tutarı"),"","Müşteri Toplam Avantajı")</f>
        <v>Müşteri Toplam Avantajı</v>
      </c>
      <c r="F10" s="99"/>
      <c r="G10" s="98" t="str">
        <f>+IF(OR(C4="",C4="Kredi Tutarı"),"","Kesinti Detayları")</f>
        <v>Kesinti Detayları</v>
      </c>
    </row>
    <row r="11" spans="1:8" ht="54" x14ac:dyDescent="0.25">
      <c r="C11" s="52"/>
      <c r="D11" s="52"/>
      <c r="E11" s="100">
        <f>+E14-E8</f>
        <v>15373.838579104398</v>
      </c>
      <c r="F11" s="99"/>
      <c r="G11" s="95" t="str">
        <f>+"Bireysel Taşıt Kredisi Tahsis Ücreti: "&amp;C4*0.005&amp;" TL BSMW: "&amp;(C4*0.005)*0.15&amp;" TL Rehin Tesis Ücreti: 279,64 TL"&amp;" ve müşteriden alınan peşin katkı payı kesilmektir."</f>
        <v>Bireysel Taşıt Kredisi Tahsis Ücreti: 1250 TL BSMW: 187,5 TL Rehin Tesis Ücreti: 279,64 TL ve müşteriden alınan peşin katkı payı kesilmektir.</v>
      </c>
    </row>
    <row r="12" spans="1:8" x14ac:dyDescent="0.25"/>
    <row r="13" spans="1:8" ht="16.5" x14ac:dyDescent="0.25">
      <c r="C13" s="61" t="s">
        <v>52</v>
      </c>
      <c r="D13" s="61" t="s">
        <v>6</v>
      </c>
      <c r="E13" s="61" t="s">
        <v>50</v>
      </c>
    </row>
    <row r="14" spans="1:8" ht="20.25" x14ac:dyDescent="0.25">
      <c r="C14" s="64">
        <f>IFERROR(+VLOOKUP(D4,'TİP,VADE,FAİZ'!J:K,2,0)," ")</f>
        <v>3.2899999999999999E-2</v>
      </c>
      <c r="D14" s="65">
        <f>PMT(ROUND(C14,5)*1.3,D4+1,-C4)</f>
        <v>27067.929336893434</v>
      </c>
      <c r="E14" s="66">
        <f>IFERROR(D14*(D4+1)," ")</f>
        <v>324815.15204272122</v>
      </c>
      <c r="G14" s="91"/>
    </row>
    <row r="15" spans="1:8" x14ac:dyDescent="0.25">
      <c r="C15" s="131" t="str">
        <f>+D4+1&amp;" Ay Vadeye ve Baz Faiz Oranına Göre Hesaplanmıştır."</f>
        <v>12 Ay Vadeye ve Baz Faiz Oranına Göre Hesaplanmıştır.</v>
      </c>
      <c r="D15" s="131"/>
      <c r="E15" s="131"/>
    </row>
    <row r="16" spans="1:8" x14ac:dyDescent="0.25">
      <c r="C16" s="132" t="s">
        <v>48</v>
      </c>
      <c r="D16" s="132"/>
      <c r="E16" s="132"/>
    </row>
    <row r="17" spans="3:8" x14ac:dyDescent="0.25"/>
    <row r="18" spans="3:8" x14ac:dyDescent="0.25">
      <c r="G18" s="91"/>
      <c r="H18" s="92"/>
    </row>
    <row r="19" spans="3:8" ht="18.75" x14ac:dyDescent="0.25">
      <c r="C19" s="128" t="s">
        <v>54</v>
      </c>
      <c r="D19" s="128"/>
      <c r="E19" s="128"/>
    </row>
    <row r="20" spans="3:8" ht="18.75" x14ac:dyDescent="0.25">
      <c r="C20" s="105" t="s">
        <v>4</v>
      </c>
      <c r="D20" s="105" t="s">
        <v>55</v>
      </c>
      <c r="E20" s="105" t="s">
        <v>34</v>
      </c>
    </row>
    <row r="21" spans="3:8" ht="18.75" x14ac:dyDescent="0.25">
      <c r="C21" s="106" t="s">
        <v>56</v>
      </c>
      <c r="D21" s="107">
        <v>0.15890000000000001</v>
      </c>
      <c r="E21" s="108">
        <v>9.9000000000000008E-3</v>
      </c>
    </row>
    <row r="22" spans="3:8" ht="18.75" x14ac:dyDescent="0.25">
      <c r="C22" s="106" t="s">
        <v>57</v>
      </c>
      <c r="D22" s="107">
        <v>8.14E-2</v>
      </c>
      <c r="E22" s="108">
        <v>2.4899999999999999E-2</v>
      </c>
    </row>
    <row r="23" spans="3:8" ht="18.75" x14ac:dyDescent="0.25">
      <c r="C23" s="106" t="s">
        <v>58</v>
      </c>
      <c r="D23" s="107">
        <v>6.5699999999999995E-2</v>
      </c>
      <c r="E23" s="108">
        <v>2.7900000000000001E-2</v>
      </c>
    </row>
    <row r="24" spans="3:8" x14ac:dyDescent="0.25"/>
    <row r="25" spans="3:8" x14ac:dyDescent="0.25"/>
  </sheetData>
  <sheetProtection algorithmName="SHA-512" hashValue="Gt+YBoN1HEzCgkTeTnK5BqWMmIW/CONCDexsQCqDBKynJ79nix2VAAYZtZa9NfCPuD7mCTRuQ4jdldw51plvLA==" saltValue="VsGwZTm2NAjg5l5hoN65yA==" spinCount="100000" sheet="1" objects="1" selectLockedCells="1"/>
  <protectedRanges>
    <protectedRange algorithmName="SHA-512" hashValue="2k8Kf8h6xCQmVkRQHLWKzcAthv6s5c71kgKUoNefdntLw/+qgyWQKDc3oSXSbUQ5oMyO/8CgDnUQTWA3XxgTjw==" saltValue="1tBZ0pHUDhJutPCxboZT0Q==" spinCount="100000" sqref="C14:E14 C7:E7 C13:D13" name="Range1_1_2_1"/>
    <protectedRange algorithmName="SHA-512" hashValue="2k8Kf8h6xCQmVkRQHLWKzcAthv6s5c71kgKUoNefdntLw/+qgyWQKDc3oSXSbUQ5oMyO/8CgDnUQTWA3XxgTjw==" saltValue="1tBZ0pHUDhJutPCxboZT0Q==" spinCount="100000" sqref="C16 C10" name="Range1_1"/>
  </protectedRanges>
  <mergeCells count="6">
    <mergeCell ref="C19:E19"/>
    <mergeCell ref="C15:E15"/>
    <mergeCell ref="C16:E16"/>
    <mergeCell ref="C9:F9"/>
    <mergeCell ref="C2:D2"/>
    <mergeCell ref="C10:D10"/>
  </mergeCells>
  <dataValidations count="3">
    <dataValidation type="whole" allowBlank="1" showErrorMessage="1" errorTitle="Kredi Tutarı" error="Lütfen Açılır Listeden Uygun Kredi Tutarını Seçiniz._x000a__x000a_" promptTitle="Kredi Tutarı" prompt="_x000a_" sqref="C4" xr:uid="{00000000-0002-0000-0300-000000000000}">
      <formula1>50000</formula1>
      <formula2>400000</formula2>
    </dataValidation>
    <dataValidation type="list" allowBlank="1" showErrorMessage="1" errorTitle="Vade" error="Lütfen Açılır Listeden Uygun Vadeyi Seçiniz." promptTitle="Vade" sqref="D4" xr:uid="{00000000-0002-0000-0300-000001000000}">
      <formula1>"11,17,23"</formula1>
    </dataValidation>
    <dataValidation type="custom" allowBlank="1" showErrorMessage="1" errorTitle="Vade" error="Kredi Tipiniz Ticari İse;_x000a_12-48 Ay Vade Arasında Giriş Yapınız._x000a__x000a_Kredi Tipiniz Bireysel İse;_x000a_3-48 Ay Vade Arasında Giriş Yapınız." promptTitle="Vade" sqref="C9" xr:uid="{00000000-0002-0000-0300-000002000000}">
      <formula1>IF(E5="Bireysel",AND(C9&gt;=3, C9&lt;=48), AND(C9&gt;=12,C9&lt;=48))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C9997A-C8F6-4CE0-B9DB-3EADE54EE815}">
  <sheetPr>
    <tabColor rgb="FF002060"/>
  </sheetPr>
  <dimension ref="A1:H25"/>
  <sheetViews>
    <sheetView zoomScale="80" zoomScaleNormal="80" workbookViewId="0">
      <selection activeCell="D4" sqref="D4"/>
    </sheetView>
  </sheetViews>
  <sheetFormatPr defaultColWidth="0" defaultRowHeight="15" customHeight="1" zeroHeight="1" x14ac:dyDescent="0.25"/>
  <cols>
    <col min="1" max="1" width="26.85546875" style="82" customWidth="1"/>
    <col min="2" max="2" width="7.7109375" style="82" customWidth="1"/>
    <col min="3" max="6" width="28.28515625" style="50" customWidth="1"/>
    <col min="7" max="7" width="34.28515625" style="50" bestFit="1" customWidth="1"/>
    <col min="8" max="8" width="30.7109375" style="82" customWidth="1"/>
    <col min="9" max="16384" width="8.85546875" style="82" hidden="1"/>
  </cols>
  <sheetData>
    <row r="1" spans="1:8" x14ac:dyDescent="0.25"/>
    <row r="2" spans="1:8" x14ac:dyDescent="0.25">
      <c r="A2" s="50"/>
      <c r="B2" s="50"/>
      <c r="C2" s="126" t="s">
        <v>27</v>
      </c>
      <c r="D2" s="126"/>
      <c r="E2" s="84"/>
      <c r="F2" s="60"/>
      <c r="G2" s="60"/>
    </row>
    <row r="3" spans="1:8" ht="19.899999999999999" customHeight="1" x14ac:dyDescent="0.25">
      <c r="A3" s="50"/>
      <c r="B3" s="50"/>
      <c r="C3" s="61" t="s">
        <v>49</v>
      </c>
      <c r="D3" s="61" t="s">
        <v>4</v>
      </c>
    </row>
    <row r="4" spans="1:8" ht="30" customHeight="1" x14ac:dyDescent="0.25">
      <c r="A4" s="50"/>
      <c r="B4" s="50"/>
      <c r="C4" s="89">
        <v>250000</v>
      </c>
      <c r="D4" s="55">
        <v>11</v>
      </c>
    </row>
    <row r="5" spans="1:8" ht="6.6" customHeight="1" x14ac:dyDescent="0.25">
      <c r="A5" s="50"/>
      <c r="B5" s="50"/>
      <c r="D5" s="67"/>
      <c r="E5" s="83"/>
    </row>
    <row r="6" spans="1:8" ht="4.1500000000000004" customHeight="1" x14ac:dyDescent="0.25">
      <c r="A6" s="50"/>
      <c r="B6" s="50"/>
    </row>
    <row r="7" spans="1:8" ht="19.899999999999999" customHeight="1" x14ac:dyDescent="0.25">
      <c r="C7" s="35" t="s">
        <v>44</v>
      </c>
      <c r="D7" s="35" t="s">
        <v>43</v>
      </c>
      <c r="E7" s="35" t="s">
        <v>45</v>
      </c>
      <c r="F7" s="35" t="s">
        <v>51</v>
      </c>
      <c r="G7" s="35" t="s">
        <v>53</v>
      </c>
    </row>
    <row r="8" spans="1:8" ht="30" customHeight="1" x14ac:dyDescent="0.25">
      <c r="C8" s="59">
        <f>+IF(D4=11,E21,IF(D4=17,E22,IF(D4=23,E23,"")))</f>
        <v>1.6899999999999998E-2</v>
      </c>
      <c r="D8" s="58">
        <f>+ROUND((PMT(ROUND(C8,5)*1.3,D4,-C4)),16)</f>
        <v>25831.5902656982</v>
      </c>
      <c r="E8" s="37">
        <f>+(D8*D4)+F8</f>
        <v>312072.49292268022</v>
      </c>
      <c r="F8" s="58">
        <f>+IF(D4=11,C4*D21,IF(D4=17,C4*D22,IF(D4=23,C4*D23)))</f>
        <v>27925</v>
      </c>
      <c r="G8" s="58">
        <f>IFERROR(C4-((C4*0.005)+((C4*0.005)*0.15)+279.64+F8)," ")</f>
        <v>220357.86</v>
      </c>
      <c r="H8" s="86"/>
    </row>
    <row r="9" spans="1:8" ht="19.899999999999999" customHeight="1" x14ac:dyDescent="0.25">
      <c r="C9" s="129" t="str">
        <f>+D4&amp;" Ay Vadeye ve İndirimli Faiz Oranına Göre Hesaplanmıştır."</f>
        <v>11 Ay Vadeye ve İndirimli Faiz Oranına Göre Hesaplanmıştır.</v>
      </c>
      <c r="D9" s="129"/>
      <c r="E9" s="129"/>
      <c r="F9" s="129"/>
      <c r="H9" s="85"/>
    </row>
    <row r="10" spans="1:8" ht="26.45" customHeight="1" x14ac:dyDescent="0.25">
      <c r="C10" s="130" t="s">
        <v>48</v>
      </c>
      <c r="D10" s="130"/>
      <c r="E10" s="98" t="str">
        <f>+IF(OR(C4="",C4="Kredi Tutarı"),"","Müşteri Toplam Avantajı")</f>
        <v>Müşteri Toplam Avantajı</v>
      </c>
      <c r="F10" s="99"/>
      <c r="G10" s="98" t="str">
        <f>+IF(OR(C4="",C4="Kredi Tutarı"),"","Kesinti Detayları")</f>
        <v>Kesinti Detayları</v>
      </c>
    </row>
    <row r="11" spans="1:8" ht="54" x14ac:dyDescent="0.25">
      <c r="C11" s="52"/>
      <c r="D11" s="52"/>
      <c r="E11" s="100">
        <f>+E14-E8</f>
        <v>12742.659120041004</v>
      </c>
      <c r="F11" s="99"/>
      <c r="G11" s="95" t="str">
        <f>+"Bireysel Taşıt Kredisi Tahsis Ücreti: "&amp;C4*0.005&amp;" TL BSMW: "&amp;(C4*0.005)*0.15&amp;" TL Rehin Tesis Ücreti: 279,64 TL"&amp;" ve müşteriden alınan peşin katkı payı kesilmektir."</f>
        <v>Bireysel Taşıt Kredisi Tahsis Ücreti: 1250 TL BSMW: 187,5 TL Rehin Tesis Ücreti: 279,64 TL ve müşteriden alınan peşin katkı payı kesilmektir.</v>
      </c>
    </row>
    <row r="12" spans="1:8" x14ac:dyDescent="0.25"/>
    <row r="13" spans="1:8" ht="16.5" x14ac:dyDescent="0.25">
      <c r="C13" s="61" t="s">
        <v>52</v>
      </c>
      <c r="D13" s="61" t="s">
        <v>6</v>
      </c>
      <c r="E13" s="61" t="s">
        <v>50</v>
      </c>
    </row>
    <row r="14" spans="1:8" ht="20.25" x14ac:dyDescent="0.25">
      <c r="C14" s="64">
        <f>IFERROR(+VLOOKUP(D4,'TİP,VADE,FAİZ'!J:K,2,0)," ")</f>
        <v>3.2899999999999999E-2</v>
      </c>
      <c r="D14" s="65">
        <f>PMT(ROUND(C14,5)*1.3,D4+1,-C4)</f>
        <v>27067.929336893434</v>
      </c>
      <c r="E14" s="66">
        <f>IFERROR(D14*(D4+1)," ")</f>
        <v>324815.15204272122</v>
      </c>
      <c r="G14" s="91"/>
    </row>
    <row r="15" spans="1:8" x14ac:dyDescent="0.25">
      <c r="C15" s="131" t="str">
        <f>+D4+1&amp;" Ay Vadeye ve Baz Faiz Oranına Göre Hesaplanmıştır."</f>
        <v>12 Ay Vadeye ve Baz Faiz Oranına Göre Hesaplanmıştır.</v>
      </c>
      <c r="D15" s="131"/>
      <c r="E15" s="131"/>
    </row>
    <row r="16" spans="1:8" x14ac:dyDescent="0.25">
      <c r="C16" s="132" t="s">
        <v>48</v>
      </c>
      <c r="D16" s="132"/>
      <c r="E16" s="132"/>
    </row>
    <row r="17" spans="3:8" x14ac:dyDescent="0.25"/>
    <row r="18" spans="3:8" x14ac:dyDescent="0.25">
      <c r="G18" s="91"/>
      <c r="H18" s="92"/>
    </row>
    <row r="19" spans="3:8" ht="18.75" x14ac:dyDescent="0.25">
      <c r="C19" s="128" t="s">
        <v>54</v>
      </c>
      <c r="D19" s="128"/>
      <c r="E19" s="128"/>
    </row>
    <row r="20" spans="3:8" ht="18.75" x14ac:dyDescent="0.25">
      <c r="C20" s="105" t="s">
        <v>4</v>
      </c>
      <c r="D20" s="105" t="s">
        <v>55</v>
      </c>
      <c r="E20" s="105" t="s">
        <v>34</v>
      </c>
    </row>
    <row r="21" spans="3:8" ht="18.75" x14ac:dyDescent="0.25">
      <c r="C21" s="106" t="s">
        <v>56</v>
      </c>
      <c r="D21" s="107">
        <v>0.11169999999999999</v>
      </c>
      <c r="E21" s="108">
        <v>1.6899999999999998E-2</v>
      </c>
    </row>
    <row r="22" spans="3:8" ht="18.75" x14ac:dyDescent="0.25">
      <c r="C22" s="106" t="s">
        <v>57</v>
      </c>
      <c r="D22" s="107">
        <v>8.14E-2</v>
      </c>
      <c r="E22" s="108">
        <v>2.4899999999999999E-2</v>
      </c>
    </row>
    <row r="23" spans="3:8" ht="18.75" x14ac:dyDescent="0.25">
      <c r="C23" s="106" t="s">
        <v>58</v>
      </c>
      <c r="D23" s="107">
        <v>6.5699999999999995E-2</v>
      </c>
      <c r="E23" s="108">
        <v>2.7900000000000001E-2</v>
      </c>
    </row>
    <row r="24" spans="3:8" x14ac:dyDescent="0.25"/>
    <row r="25" spans="3:8" x14ac:dyDescent="0.25"/>
  </sheetData>
  <sheetProtection algorithmName="SHA-512" hashValue="D5O4EKlFwxdCuyugTo6SyibGzp4v0db5cloOABbPS80oFDmPZtlN1u0afBsH4rIf8t0Id/tie9xAQW19bYPSWg==" saltValue="cNEijfRcKi6Oz5qlnx1c3g==" spinCount="100000" sheet="1" objects="1" selectLockedCells="1"/>
  <protectedRanges>
    <protectedRange algorithmName="SHA-512" hashValue="2k8Kf8h6xCQmVkRQHLWKzcAthv6s5c71kgKUoNefdntLw/+qgyWQKDc3oSXSbUQ5oMyO/8CgDnUQTWA3XxgTjw==" saltValue="1tBZ0pHUDhJutPCxboZT0Q==" spinCount="100000" sqref="C14:E14 C7:E7 C13:D13" name="Range1_1_2_1"/>
    <protectedRange algorithmName="SHA-512" hashValue="2k8Kf8h6xCQmVkRQHLWKzcAthv6s5c71kgKUoNefdntLw/+qgyWQKDc3oSXSbUQ5oMyO/8CgDnUQTWA3XxgTjw==" saltValue="1tBZ0pHUDhJutPCxboZT0Q==" spinCount="100000" sqref="C16 C10" name="Range1_1"/>
  </protectedRanges>
  <mergeCells count="6">
    <mergeCell ref="C19:E19"/>
    <mergeCell ref="C2:D2"/>
    <mergeCell ref="C9:F9"/>
    <mergeCell ref="C10:D10"/>
    <mergeCell ref="C15:E15"/>
    <mergeCell ref="C16:E16"/>
  </mergeCells>
  <dataValidations count="3">
    <dataValidation type="whole" allowBlank="1" showErrorMessage="1" errorTitle="Kredi Tutarı" error="Lütfen Açılır Listeden Uygun Kredi Tutarını Seçiniz._x000a__x000a_" promptTitle="Kredi Tutarı" prompt="_x000a_" sqref="C4" xr:uid="{51BF6806-7506-4DD1-B697-D9FFAFD7E8C3}">
      <formula1>50000</formula1>
      <formula2>400000</formula2>
    </dataValidation>
    <dataValidation type="list" allowBlank="1" showErrorMessage="1" errorTitle="Vade" error="Lütfen Açılır Listeden Uygun Vadeyi Seçiniz." promptTitle="Vade" sqref="D4" xr:uid="{FC908F80-45B7-4E00-BF8F-06933D97967E}">
      <formula1>"11,17,23"</formula1>
    </dataValidation>
    <dataValidation type="custom" allowBlank="1" showErrorMessage="1" errorTitle="Vade" error="Kredi Tipiniz Ticari İse;_x000a_12-48 Ay Vade Arasında Giriş Yapınız._x000a__x000a_Kredi Tipiniz Bireysel İse;_x000a_3-48 Ay Vade Arasında Giriş Yapınız." promptTitle="Vade" sqref="C9" xr:uid="{FAA119DC-CBF8-4BC2-A9F6-78BAA23D32EB}">
      <formula1>IF(E5="Bireysel",AND(C9&gt;=3, C9&lt;=48), AND(C9&gt;=12,C9&lt;=48))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rgb="FFC00000"/>
  </sheetPr>
  <dimension ref="A1:K48"/>
  <sheetViews>
    <sheetView workbookViewId="0">
      <selection activeCell="N35" sqref="N35"/>
    </sheetView>
  </sheetViews>
  <sheetFormatPr defaultColWidth="8.85546875" defaultRowHeight="12.75" x14ac:dyDescent="0.2"/>
  <cols>
    <col min="1" max="1" width="9.28515625" style="1" bestFit="1" customWidth="1"/>
    <col min="2" max="2" width="6.28515625" style="1" bestFit="1" customWidth="1"/>
    <col min="3" max="3" width="8.85546875" style="1"/>
    <col min="4" max="4" width="6.7109375" style="1" bestFit="1" customWidth="1"/>
    <col min="5" max="5" width="6.28515625" style="1" bestFit="1" customWidth="1"/>
    <col min="6" max="6" width="6.28515625" style="1" customWidth="1"/>
    <col min="7" max="7" width="12.5703125" style="1" bestFit="1" customWidth="1"/>
    <col min="8" max="8" width="10.28515625" style="1" bestFit="1" customWidth="1"/>
    <col min="9" max="9" width="8.85546875" style="1"/>
    <col min="10" max="10" width="5.28515625" style="1" bestFit="1" customWidth="1"/>
    <col min="11" max="11" width="6.28515625" style="1" bestFit="1" customWidth="1"/>
    <col min="12" max="16384" width="8.85546875" style="1"/>
  </cols>
  <sheetData>
    <row r="1" spans="1:11" ht="15" x14ac:dyDescent="0.25">
      <c r="A1" s="114" t="s">
        <v>9</v>
      </c>
      <c r="B1" s="115"/>
      <c r="D1" s="114" t="s">
        <v>20</v>
      </c>
      <c r="E1" s="117"/>
      <c r="G1" s="1" t="s">
        <v>35</v>
      </c>
      <c r="H1" s="1" t="s">
        <v>36</v>
      </c>
      <c r="J1" s="18" t="s">
        <v>67</v>
      </c>
      <c r="K1" s="18"/>
    </row>
    <row r="2" spans="1:11" x14ac:dyDescent="0.2">
      <c r="A2" s="116" t="s">
        <v>4</v>
      </c>
      <c r="B2" s="117" t="s">
        <v>24</v>
      </c>
      <c r="D2" s="116" t="s">
        <v>4</v>
      </c>
      <c r="E2" s="117" t="s">
        <v>24</v>
      </c>
      <c r="G2" s="1">
        <v>3</v>
      </c>
      <c r="H2" s="1">
        <v>12</v>
      </c>
      <c r="J2" s="2" t="s">
        <v>4</v>
      </c>
      <c r="K2" s="1" t="s">
        <v>24</v>
      </c>
    </row>
    <row r="3" spans="1:11" ht="14.25" x14ac:dyDescent="0.25">
      <c r="A3" s="14">
        <v>3</v>
      </c>
      <c r="B3" s="118">
        <v>3.2899999999999999E-2</v>
      </c>
      <c r="D3" s="14">
        <v>12</v>
      </c>
      <c r="E3" s="118">
        <v>3.4000000000000002E-2</v>
      </c>
      <c r="F3" s="15"/>
      <c r="G3" s="1">
        <v>4</v>
      </c>
      <c r="H3" s="1">
        <v>13</v>
      </c>
      <c r="J3" s="14">
        <v>3</v>
      </c>
      <c r="K3" s="118">
        <v>3.2899999999999999E-2</v>
      </c>
    </row>
    <row r="4" spans="1:11" ht="14.25" x14ac:dyDescent="0.25">
      <c r="A4" s="14">
        <v>4</v>
      </c>
      <c r="B4" s="118">
        <v>3.2899999999999999E-2</v>
      </c>
      <c r="D4" s="14">
        <v>13</v>
      </c>
      <c r="E4" s="118">
        <v>3.4000000000000002E-2</v>
      </c>
      <c r="F4" s="15"/>
      <c r="G4" s="1">
        <v>5</v>
      </c>
      <c r="H4" s="1">
        <v>14</v>
      </c>
      <c r="J4" s="14">
        <v>4</v>
      </c>
      <c r="K4" s="118">
        <v>3.2899999999999999E-2</v>
      </c>
    </row>
    <row r="5" spans="1:11" ht="14.25" x14ac:dyDescent="0.25">
      <c r="A5" s="14">
        <v>5</v>
      </c>
      <c r="B5" s="118">
        <v>3.2899999999999999E-2</v>
      </c>
      <c r="D5" s="14">
        <v>14</v>
      </c>
      <c r="E5" s="118">
        <v>3.4000000000000002E-2</v>
      </c>
      <c r="F5" s="15"/>
      <c r="G5" s="1">
        <v>6</v>
      </c>
      <c r="H5" s="1">
        <v>15</v>
      </c>
      <c r="J5" s="14">
        <v>5</v>
      </c>
      <c r="K5" s="118">
        <v>3.2899999999999999E-2</v>
      </c>
    </row>
    <row r="6" spans="1:11" ht="14.25" x14ac:dyDescent="0.25">
      <c r="A6" s="14">
        <v>6</v>
      </c>
      <c r="B6" s="118">
        <v>3.2899999999999999E-2</v>
      </c>
      <c r="D6" s="14">
        <v>15</v>
      </c>
      <c r="E6" s="119">
        <v>3.1800000000000002E-2</v>
      </c>
      <c r="F6" s="111"/>
      <c r="G6" s="1">
        <v>7</v>
      </c>
      <c r="H6" s="1">
        <v>16</v>
      </c>
      <c r="J6" s="14">
        <v>6</v>
      </c>
      <c r="K6" s="118">
        <v>3.2899999999999999E-2</v>
      </c>
    </row>
    <row r="7" spans="1:11" ht="14.25" x14ac:dyDescent="0.25">
      <c r="A7" s="14">
        <v>7</v>
      </c>
      <c r="B7" s="118">
        <v>3.2899999999999999E-2</v>
      </c>
      <c r="D7" s="14">
        <v>16</v>
      </c>
      <c r="E7" s="119">
        <v>3.1800000000000002E-2</v>
      </c>
      <c r="F7" s="111"/>
      <c r="G7" s="1">
        <v>8</v>
      </c>
      <c r="H7" s="1">
        <v>17</v>
      </c>
      <c r="J7" s="14">
        <v>7</v>
      </c>
      <c r="K7" s="118">
        <v>3.2899999999999999E-2</v>
      </c>
    </row>
    <row r="8" spans="1:11" ht="14.25" x14ac:dyDescent="0.25">
      <c r="A8" s="14">
        <v>8</v>
      </c>
      <c r="B8" s="118">
        <v>3.2899999999999999E-2</v>
      </c>
      <c r="D8" s="14">
        <v>17</v>
      </c>
      <c r="E8" s="119">
        <v>3.1800000000000002E-2</v>
      </c>
      <c r="F8" s="111"/>
      <c r="G8" s="1">
        <v>9</v>
      </c>
      <c r="H8" s="1">
        <v>18</v>
      </c>
      <c r="J8" s="14">
        <v>8</v>
      </c>
      <c r="K8" s="118">
        <v>3.2899999999999999E-2</v>
      </c>
    </row>
    <row r="9" spans="1:11" ht="14.25" x14ac:dyDescent="0.25">
      <c r="A9" s="14">
        <v>9</v>
      </c>
      <c r="B9" s="118">
        <v>3.2899999999999999E-2</v>
      </c>
      <c r="D9" s="14">
        <v>18</v>
      </c>
      <c r="E9" s="119">
        <v>3.1800000000000002E-2</v>
      </c>
      <c r="F9" s="111"/>
      <c r="G9" s="1">
        <v>10</v>
      </c>
      <c r="H9" s="1">
        <v>19</v>
      </c>
      <c r="J9" s="14">
        <v>9</v>
      </c>
      <c r="K9" s="118">
        <v>3.2899999999999999E-2</v>
      </c>
    </row>
    <row r="10" spans="1:11" ht="14.25" x14ac:dyDescent="0.25">
      <c r="A10" s="14">
        <v>10</v>
      </c>
      <c r="B10" s="118">
        <v>3.2899999999999999E-2</v>
      </c>
      <c r="D10" s="14">
        <v>19</v>
      </c>
      <c r="E10" s="119">
        <v>3.1800000000000002E-2</v>
      </c>
      <c r="F10" s="111"/>
      <c r="G10" s="1">
        <v>11</v>
      </c>
      <c r="H10" s="1">
        <v>20</v>
      </c>
      <c r="J10" s="14">
        <v>10</v>
      </c>
      <c r="K10" s="118">
        <v>3.2899999999999999E-2</v>
      </c>
    </row>
    <row r="11" spans="1:11" ht="14.25" x14ac:dyDescent="0.25">
      <c r="A11" s="14">
        <v>11</v>
      </c>
      <c r="B11" s="118">
        <v>3.2899999999999999E-2</v>
      </c>
      <c r="D11" s="14">
        <v>20</v>
      </c>
      <c r="E11" s="119">
        <v>3.1800000000000002E-2</v>
      </c>
      <c r="F11" s="111"/>
      <c r="G11" s="1">
        <v>12</v>
      </c>
      <c r="H11" s="1">
        <v>21</v>
      </c>
      <c r="J11" s="14">
        <v>11</v>
      </c>
      <c r="K11" s="118">
        <v>3.2899999999999999E-2</v>
      </c>
    </row>
    <row r="12" spans="1:11" ht="14.25" x14ac:dyDescent="0.25">
      <c r="A12" s="14">
        <v>12</v>
      </c>
      <c r="B12" s="118">
        <v>3.2899999999999999E-2</v>
      </c>
      <c r="D12" s="14">
        <v>21</v>
      </c>
      <c r="E12" s="119">
        <v>3.1800000000000002E-2</v>
      </c>
      <c r="F12" s="111"/>
      <c r="G12" s="1">
        <v>13</v>
      </c>
      <c r="H12" s="1">
        <v>22</v>
      </c>
      <c r="J12" s="14">
        <v>12</v>
      </c>
      <c r="K12" s="118">
        <v>3.2899999999999999E-2</v>
      </c>
    </row>
    <row r="13" spans="1:11" ht="14.25" x14ac:dyDescent="0.25">
      <c r="A13" s="14">
        <v>13</v>
      </c>
      <c r="B13" s="118">
        <v>3.2899999999999999E-2</v>
      </c>
      <c r="D13" s="14">
        <v>22</v>
      </c>
      <c r="E13" s="119">
        <v>3.1800000000000002E-2</v>
      </c>
      <c r="F13" s="111"/>
      <c r="G13" s="1">
        <v>14</v>
      </c>
      <c r="H13" s="1">
        <v>23</v>
      </c>
      <c r="J13" s="14">
        <v>13</v>
      </c>
      <c r="K13" s="118">
        <v>3.2899999999999999E-2</v>
      </c>
    </row>
    <row r="14" spans="1:11" ht="14.25" x14ac:dyDescent="0.25">
      <c r="A14" s="14">
        <v>14</v>
      </c>
      <c r="B14" s="118">
        <v>3.2899999999999999E-2</v>
      </c>
      <c r="D14" s="14">
        <v>23</v>
      </c>
      <c r="E14" s="119">
        <v>3.1800000000000002E-2</v>
      </c>
      <c r="F14" s="111"/>
      <c r="G14" s="1">
        <v>15</v>
      </c>
      <c r="H14" s="1">
        <v>24</v>
      </c>
      <c r="J14" s="14">
        <v>14</v>
      </c>
      <c r="K14" s="118">
        <v>3.2899999999999999E-2</v>
      </c>
    </row>
    <row r="15" spans="1:11" ht="14.25" x14ac:dyDescent="0.25">
      <c r="A15" s="14">
        <v>15</v>
      </c>
      <c r="B15" s="118">
        <v>3.2899999999999999E-2</v>
      </c>
      <c r="D15" s="14">
        <v>24</v>
      </c>
      <c r="E15" s="119">
        <v>3.1800000000000002E-2</v>
      </c>
      <c r="F15" s="111"/>
      <c r="G15" s="1">
        <v>16</v>
      </c>
      <c r="H15" s="1">
        <v>25</v>
      </c>
      <c r="J15" s="14">
        <v>15</v>
      </c>
      <c r="K15" s="118">
        <v>3.2899999999999999E-2</v>
      </c>
    </row>
    <row r="16" spans="1:11" ht="14.25" x14ac:dyDescent="0.25">
      <c r="A16" s="14">
        <v>16</v>
      </c>
      <c r="B16" s="118">
        <v>3.2899999999999999E-2</v>
      </c>
      <c r="D16" s="14">
        <v>25</v>
      </c>
      <c r="E16" s="119">
        <v>3.1800000000000002E-2</v>
      </c>
      <c r="F16" s="111"/>
      <c r="G16" s="1">
        <v>17</v>
      </c>
      <c r="H16" s="1">
        <v>26</v>
      </c>
      <c r="J16" s="14">
        <v>16</v>
      </c>
      <c r="K16" s="118">
        <v>3.2899999999999999E-2</v>
      </c>
    </row>
    <row r="17" spans="1:11" ht="14.25" x14ac:dyDescent="0.25">
      <c r="A17" s="14">
        <v>17</v>
      </c>
      <c r="B17" s="118">
        <v>3.2899999999999999E-2</v>
      </c>
      <c r="D17" s="14">
        <v>26</v>
      </c>
      <c r="E17" s="119">
        <v>3.1800000000000002E-2</v>
      </c>
      <c r="F17" s="111"/>
      <c r="G17" s="1">
        <v>18</v>
      </c>
      <c r="H17" s="1">
        <v>27</v>
      </c>
      <c r="J17" s="14">
        <v>17</v>
      </c>
      <c r="K17" s="118">
        <v>3.2899999999999999E-2</v>
      </c>
    </row>
    <row r="18" spans="1:11" ht="14.25" x14ac:dyDescent="0.25">
      <c r="A18" s="14">
        <v>18</v>
      </c>
      <c r="B18" s="118">
        <v>3.2899999999999999E-2</v>
      </c>
      <c r="D18" s="14">
        <v>27</v>
      </c>
      <c r="E18" s="119">
        <v>3.1800000000000002E-2</v>
      </c>
      <c r="F18" s="111"/>
      <c r="G18" s="1">
        <v>19</v>
      </c>
      <c r="H18" s="1">
        <v>28</v>
      </c>
      <c r="J18" s="14">
        <v>18</v>
      </c>
      <c r="K18" s="118">
        <v>3.2899999999999999E-2</v>
      </c>
    </row>
    <row r="19" spans="1:11" ht="14.25" x14ac:dyDescent="0.25">
      <c r="A19" s="14">
        <v>19</v>
      </c>
      <c r="B19" s="118">
        <v>3.2899999999999999E-2</v>
      </c>
      <c r="D19" s="14">
        <v>28</v>
      </c>
      <c r="E19" s="119">
        <v>3.1800000000000002E-2</v>
      </c>
      <c r="F19" s="111"/>
      <c r="G19" s="1">
        <v>20</v>
      </c>
      <c r="H19" s="1">
        <v>29</v>
      </c>
      <c r="J19" s="14">
        <v>19</v>
      </c>
      <c r="K19" s="118">
        <v>3.2899999999999999E-2</v>
      </c>
    </row>
    <row r="20" spans="1:11" ht="14.25" x14ac:dyDescent="0.25">
      <c r="A20" s="14">
        <v>20</v>
      </c>
      <c r="B20" s="118">
        <v>3.2899999999999999E-2</v>
      </c>
      <c r="D20" s="14">
        <v>29</v>
      </c>
      <c r="E20" s="119">
        <v>3.1800000000000002E-2</v>
      </c>
      <c r="F20" s="15"/>
      <c r="G20" s="1">
        <v>21</v>
      </c>
      <c r="H20" s="1">
        <v>30</v>
      </c>
      <c r="J20" s="14">
        <v>20</v>
      </c>
      <c r="K20" s="118">
        <v>3.2899999999999999E-2</v>
      </c>
    </row>
    <row r="21" spans="1:11" ht="14.25" x14ac:dyDescent="0.25">
      <c r="A21" s="14">
        <v>21</v>
      </c>
      <c r="B21" s="118">
        <v>3.2899999999999999E-2</v>
      </c>
      <c r="D21" s="14">
        <v>30</v>
      </c>
      <c r="E21" s="119">
        <v>3.1800000000000002E-2</v>
      </c>
      <c r="F21" s="15"/>
      <c r="G21" s="1">
        <v>22</v>
      </c>
      <c r="H21" s="1">
        <v>31</v>
      </c>
      <c r="J21" s="14">
        <v>21</v>
      </c>
      <c r="K21" s="118">
        <v>3.2899999999999999E-2</v>
      </c>
    </row>
    <row r="22" spans="1:11" ht="14.25" x14ac:dyDescent="0.25">
      <c r="A22" s="14">
        <v>22</v>
      </c>
      <c r="B22" s="118">
        <v>3.2899999999999999E-2</v>
      </c>
      <c r="D22" s="14">
        <v>31</v>
      </c>
      <c r="E22" s="119">
        <v>3.1800000000000002E-2</v>
      </c>
      <c r="F22" s="15"/>
      <c r="G22" s="1">
        <v>23</v>
      </c>
      <c r="H22" s="1">
        <v>32</v>
      </c>
      <c r="J22" s="14">
        <v>22</v>
      </c>
      <c r="K22" s="118">
        <v>3.2899999999999999E-2</v>
      </c>
    </row>
    <row r="23" spans="1:11" ht="14.25" x14ac:dyDescent="0.25">
      <c r="A23" s="14">
        <v>23</v>
      </c>
      <c r="B23" s="118">
        <v>3.2899999999999999E-2</v>
      </c>
      <c r="D23" s="14">
        <v>32</v>
      </c>
      <c r="E23" s="119">
        <v>3.1800000000000002E-2</v>
      </c>
      <c r="F23" s="15"/>
      <c r="G23" s="1">
        <v>24</v>
      </c>
      <c r="H23" s="1">
        <v>33</v>
      </c>
      <c r="J23" s="14">
        <v>23</v>
      </c>
      <c r="K23" s="118">
        <v>3.2899999999999999E-2</v>
      </c>
    </row>
    <row r="24" spans="1:11" ht="14.25" x14ac:dyDescent="0.25">
      <c r="A24" s="14">
        <v>24</v>
      </c>
      <c r="B24" s="118">
        <v>3.2899999999999999E-2</v>
      </c>
      <c r="D24" s="14">
        <v>33</v>
      </c>
      <c r="E24" s="119">
        <v>3.1800000000000002E-2</v>
      </c>
      <c r="F24" s="15"/>
      <c r="G24" s="1">
        <v>25</v>
      </c>
      <c r="H24" s="1">
        <v>34</v>
      </c>
      <c r="J24" s="14">
        <v>24</v>
      </c>
      <c r="K24" s="118">
        <v>3.2899999999999999E-2</v>
      </c>
    </row>
    <row r="25" spans="1:11" ht="14.25" x14ac:dyDescent="0.25">
      <c r="A25" s="14">
        <v>25</v>
      </c>
      <c r="B25" s="118">
        <v>3.2899999999999999E-2</v>
      </c>
      <c r="D25" s="14">
        <v>34</v>
      </c>
      <c r="E25" s="119">
        <v>3.1800000000000002E-2</v>
      </c>
      <c r="F25" s="15"/>
      <c r="G25" s="1">
        <v>26</v>
      </c>
      <c r="H25" s="1">
        <v>35</v>
      </c>
      <c r="J25" s="14">
        <v>25</v>
      </c>
      <c r="K25" s="118">
        <v>3.2899999999999999E-2</v>
      </c>
    </row>
    <row r="26" spans="1:11" ht="14.25" x14ac:dyDescent="0.25">
      <c r="A26" s="14">
        <v>26</v>
      </c>
      <c r="B26" s="118">
        <v>3.2899999999999999E-2</v>
      </c>
      <c r="D26" s="14">
        <v>35</v>
      </c>
      <c r="E26" s="119">
        <v>3.1800000000000002E-2</v>
      </c>
      <c r="F26" s="15"/>
      <c r="G26" s="1">
        <v>27</v>
      </c>
      <c r="H26" s="1">
        <v>36</v>
      </c>
      <c r="J26" s="14">
        <v>26</v>
      </c>
      <c r="K26" s="118">
        <v>3.2899999999999999E-2</v>
      </c>
    </row>
    <row r="27" spans="1:11" ht="14.25" x14ac:dyDescent="0.25">
      <c r="A27" s="14">
        <v>27</v>
      </c>
      <c r="B27" s="118">
        <v>3.2899999999999999E-2</v>
      </c>
      <c r="D27" s="14">
        <v>36</v>
      </c>
      <c r="E27" s="119">
        <v>3.1800000000000002E-2</v>
      </c>
      <c r="F27" s="15"/>
      <c r="G27" s="1">
        <v>28</v>
      </c>
      <c r="H27" s="1">
        <v>37</v>
      </c>
      <c r="J27" s="14">
        <v>27</v>
      </c>
      <c r="K27" s="118">
        <v>3.2899999999999999E-2</v>
      </c>
    </row>
    <row r="28" spans="1:11" ht="14.25" x14ac:dyDescent="0.25">
      <c r="A28" s="14">
        <v>28</v>
      </c>
      <c r="B28" s="118">
        <v>3.2899999999999999E-2</v>
      </c>
      <c r="D28" s="14">
        <v>37</v>
      </c>
      <c r="E28" s="119">
        <v>3.1800000000000002E-2</v>
      </c>
      <c r="F28" s="15"/>
      <c r="G28" s="1">
        <v>29</v>
      </c>
      <c r="H28" s="1">
        <v>38</v>
      </c>
      <c r="J28" s="14">
        <v>28</v>
      </c>
      <c r="K28" s="118">
        <v>3.2899999999999999E-2</v>
      </c>
    </row>
    <row r="29" spans="1:11" ht="14.25" x14ac:dyDescent="0.25">
      <c r="A29" s="14">
        <v>29</v>
      </c>
      <c r="B29" s="118">
        <v>3.2899999999999999E-2</v>
      </c>
      <c r="D29" s="14">
        <v>38</v>
      </c>
      <c r="E29" s="119">
        <v>3.1800000000000002E-2</v>
      </c>
      <c r="F29" s="15"/>
      <c r="G29" s="1">
        <v>30</v>
      </c>
      <c r="H29" s="1">
        <v>39</v>
      </c>
      <c r="J29" s="14">
        <v>29</v>
      </c>
      <c r="K29" s="118">
        <v>3.2899999999999999E-2</v>
      </c>
    </row>
    <row r="30" spans="1:11" ht="14.25" x14ac:dyDescent="0.25">
      <c r="A30" s="14">
        <v>30</v>
      </c>
      <c r="B30" s="118">
        <v>3.2899999999999999E-2</v>
      </c>
      <c r="D30" s="14">
        <v>39</v>
      </c>
      <c r="E30" s="119">
        <v>3.1800000000000002E-2</v>
      </c>
      <c r="F30" s="15"/>
      <c r="G30" s="1">
        <v>31</v>
      </c>
      <c r="H30" s="1">
        <v>40</v>
      </c>
      <c r="J30" s="14">
        <v>30</v>
      </c>
      <c r="K30" s="118">
        <v>3.2899999999999999E-2</v>
      </c>
    </row>
    <row r="31" spans="1:11" ht="14.25" x14ac:dyDescent="0.25">
      <c r="A31" s="14">
        <v>31</v>
      </c>
      <c r="B31" s="118">
        <v>3.2899999999999999E-2</v>
      </c>
      <c r="D31" s="14">
        <v>40</v>
      </c>
      <c r="E31" s="119">
        <v>3.1800000000000002E-2</v>
      </c>
      <c r="F31" s="15"/>
      <c r="G31" s="1">
        <v>32</v>
      </c>
      <c r="H31" s="1">
        <v>41</v>
      </c>
      <c r="J31" s="14">
        <v>31</v>
      </c>
      <c r="K31" s="118">
        <v>3.2899999999999999E-2</v>
      </c>
    </row>
    <row r="32" spans="1:11" ht="14.25" x14ac:dyDescent="0.25">
      <c r="A32" s="14">
        <v>32</v>
      </c>
      <c r="B32" s="118">
        <v>3.2899999999999999E-2</v>
      </c>
      <c r="D32" s="14">
        <v>41</v>
      </c>
      <c r="E32" s="119">
        <v>3.1800000000000002E-2</v>
      </c>
      <c r="F32" s="15"/>
      <c r="G32" s="1">
        <v>33</v>
      </c>
      <c r="H32" s="1">
        <v>42</v>
      </c>
      <c r="J32" s="14">
        <v>32</v>
      </c>
      <c r="K32" s="118">
        <v>3.2899999999999999E-2</v>
      </c>
    </row>
    <row r="33" spans="1:11" ht="14.25" x14ac:dyDescent="0.25">
      <c r="A33" s="14">
        <v>33</v>
      </c>
      <c r="B33" s="118">
        <v>3.2899999999999999E-2</v>
      </c>
      <c r="D33" s="14">
        <v>42</v>
      </c>
      <c r="E33" s="119">
        <v>3.1800000000000002E-2</v>
      </c>
      <c r="F33" s="15"/>
      <c r="G33" s="1">
        <v>34</v>
      </c>
      <c r="H33" s="1">
        <v>43</v>
      </c>
      <c r="J33" s="14">
        <v>33</v>
      </c>
      <c r="K33" s="118">
        <v>3.2899999999999999E-2</v>
      </c>
    </row>
    <row r="34" spans="1:11" ht="14.25" x14ac:dyDescent="0.25">
      <c r="A34" s="14">
        <v>34</v>
      </c>
      <c r="B34" s="118">
        <v>3.2899999999999999E-2</v>
      </c>
      <c r="D34" s="14">
        <v>43</v>
      </c>
      <c r="E34" s="119">
        <v>3.1800000000000002E-2</v>
      </c>
      <c r="F34" s="15"/>
      <c r="G34" s="1">
        <v>35</v>
      </c>
      <c r="H34" s="1">
        <v>44</v>
      </c>
      <c r="J34" s="14">
        <v>34</v>
      </c>
      <c r="K34" s="118">
        <v>3.2899999999999999E-2</v>
      </c>
    </row>
    <row r="35" spans="1:11" ht="14.25" x14ac:dyDescent="0.25">
      <c r="A35" s="14">
        <v>35</v>
      </c>
      <c r="B35" s="118">
        <v>3.2899999999999999E-2</v>
      </c>
      <c r="D35" s="14">
        <v>44</v>
      </c>
      <c r="E35" s="119">
        <v>3.1800000000000002E-2</v>
      </c>
      <c r="F35" s="15"/>
      <c r="G35" s="1">
        <v>36</v>
      </c>
      <c r="H35" s="1">
        <v>45</v>
      </c>
      <c r="J35" s="14">
        <v>35</v>
      </c>
      <c r="K35" s="118">
        <v>3.2899999999999999E-2</v>
      </c>
    </row>
    <row r="36" spans="1:11" ht="14.25" x14ac:dyDescent="0.25">
      <c r="A36" s="14">
        <v>36</v>
      </c>
      <c r="B36" s="118">
        <v>3.2899999999999999E-2</v>
      </c>
      <c r="D36" s="14">
        <v>45</v>
      </c>
      <c r="E36" s="119">
        <v>3.1800000000000002E-2</v>
      </c>
      <c r="F36" s="15"/>
      <c r="G36" s="1">
        <v>37</v>
      </c>
      <c r="H36" s="1">
        <v>46</v>
      </c>
      <c r="J36" s="14">
        <v>36</v>
      </c>
      <c r="K36" s="118">
        <v>3.2899999999999999E-2</v>
      </c>
    </row>
    <row r="37" spans="1:11" ht="14.25" x14ac:dyDescent="0.25">
      <c r="A37" s="14">
        <v>37</v>
      </c>
      <c r="B37" s="118">
        <v>3.2899999999999999E-2</v>
      </c>
      <c r="D37" s="14">
        <v>46</v>
      </c>
      <c r="E37" s="119">
        <v>3.1800000000000002E-2</v>
      </c>
      <c r="F37" s="15"/>
      <c r="G37" s="1">
        <v>38</v>
      </c>
      <c r="H37" s="1">
        <v>47</v>
      </c>
      <c r="J37" s="14">
        <v>37</v>
      </c>
      <c r="K37" s="118">
        <v>3.2899999999999999E-2</v>
      </c>
    </row>
    <row r="38" spans="1:11" ht="14.25" x14ac:dyDescent="0.25">
      <c r="A38" s="14">
        <v>38</v>
      </c>
      <c r="B38" s="118">
        <v>3.2899999999999999E-2</v>
      </c>
      <c r="D38" s="14">
        <v>47</v>
      </c>
      <c r="E38" s="119">
        <v>3.1800000000000002E-2</v>
      </c>
      <c r="F38" s="15"/>
      <c r="G38" s="1">
        <v>39</v>
      </c>
      <c r="H38" s="1">
        <v>48</v>
      </c>
      <c r="J38" s="14">
        <v>38</v>
      </c>
      <c r="K38" s="118">
        <v>3.2899999999999999E-2</v>
      </c>
    </row>
    <row r="39" spans="1:11" ht="14.25" x14ac:dyDescent="0.25">
      <c r="A39" s="14">
        <v>39</v>
      </c>
      <c r="B39" s="118">
        <v>3.2899999999999999E-2</v>
      </c>
      <c r="D39" s="14">
        <v>48</v>
      </c>
      <c r="E39" s="119">
        <v>3.1800000000000002E-2</v>
      </c>
      <c r="F39" s="15"/>
      <c r="G39" s="1">
        <v>40</v>
      </c>
      <c r="J39" s="14">
        <v>39</v>
      </c>
      <c r="K39" s="118">
        <v>3.2899999999999999E-2</v>
      </c>
    </row>
    <row r="40" spans="1:11" ht="14.25" x14ac:dyDescent="0.25">
      <c r="A40" s="14">
        <v>40</v>
      </c>
      <c r="B40" s="118">
        <v>3.2899999999999999E-2</v>
      </c>
      <c r="G40" s="1">
        <v>41</v>
      </c>
      <c r="J40" s="14">
        <v>40</v>
      </c>
      <c r="K40" s="118">
        <v>3.2899999999999999E-2</v>
      </c>
    </row>
    <row r="41" spans="1:11" ht="14.25" x14ac:dyDescent="0.25">
      <c r="A41" s="14">
        <v>41</v>
      </c>
      <c r="B41" s="118">
        <v>3.2899999999999999E-2</v>
      </c>
      <c r="G41" s="1">
        <v>42</v>
      </c>
      <c r="J41" s="14">
        <v>41</v>
      </c>
      <c r="K41" s="118">
        <v>3.2899999999999999E-2</v>
      </c>
    </row>
    <row r="42" spans="1:11" ht="14.25" x14ac:dyDescent="0.25">
      <c r="A42" s="14">
        <v>42</v>
      </c>
      <c r="B42" s="118">
        <v>3.2899999999999999E-2</v>
      </c>
      <c r="G42" s="1">
        <v>43</v>
      </c>
      <c r="J42" s="14">
        <v>42</v>
      </c>
      <c r="K42" s="118">
        <v>3.2899999999999999E-2</v>
      </c>
    </row>
    <row r="43" spans="1:11" ht="14.25" x14ac:dyDescent="0.25">
      <c r="A43" s="14">
        <v>43</v>
      </c>
      <c r="B43" s="118">
        <v>3.2899999999999999E-2</v>
      </c>
      <c r="G43" s="1">
        <v>44</v>
      </c>
      <c r="J43" s="14">
        <v>43</v>
      </c>
      <c r="K43" s="118">
        <v>3.2899999999999999E-2</v>
      </c>
    </row>
    <row r="44" spans="1:11" ht="14.25" x14ac:dyDescent="0.25">
      <c r="A44" s="14">
        <v>44</v>
      </c>
      <c r="B44" s="118">
        <v>3.2899999999999999E-2</v>
      </c>
      <c r="G44" s="1">
        <v>45</v>
      </c>
      <c r="J44" s="14">
        <v>44</v>
      </c>
      <c r="K44" s="118">
        <v>3.2899999999999999E-2</v>
      </c>
    </row>
    <row r="45" spans="1:11" ht="14.25" x14ac:dyDescent="0.25">
      <c r="A45" s="14">
        <v>45</v>
      </c>
      <c r="B45" s="118">
        <v>3.2899999999999999E-2</v>
      </c>
      <c r="G45" s="1">
        <v>46</v>
      </c>
      <c r="J45" s="14">
        <v>45</v>
      </c>
      <c r="K45" s="118">
        <v>3.2899999999999999E-2</v>
      </c>
    </row>
    <row r="46" spans="1:11" ht="14.25" x14ac:dyDescent="0.25">
      <c r="A46" s="14">
        <v>46</v>
      </c>
      <c r="B46" s="118">
        <v>3.2899999999999999E-2</v>
      </c>
      <c r="G46" s="1">
        <v>47</v>
      </c>
      <c r="J46" s="14">
        <v>46</v>
      </c>
      <c r="K46" s="118">
        <v>3.2899999999999999E-2</v>
      </c>
    </row>
    <row r="47" spans="1:11" ht="14.25" x14ac:dyDescent="0.25">
      <c r="A47" s="14">
        <v>47</v>
      </c>
      <c r="B47" s="118">
        <v>3.2899999999999999E-2</v>
      </c>
      <c r="G47" s="1">
        <v>48</v>
      </c>
      <c r="J47" s="14">
        <v>47</v>
      </c>
      <c r="K47" s="118">
        <v>3.2899999999999999E-2</v>
      </c>
    </row>
    <row r="48" spans="1:11" ht="14.25" x14ac:dyDescent="0.25">
      <c r="A48" s="14">
        <v>48</v>
      </c>
      <c r="B48" s="118">
        <v>3.2899999999999999E-2</v>
      </c>
      <c r="J48" s="14">
        <v>48</v>
      </c>
      <c r="K48" s="118">
        <v>3.2899999999999999E-2</v>
      </c>
    </row>
  </sheetData>
  <customSheetViews>
    <customSheetView guid="{DC951F13-F49E-4E21-8FB7-0605E290FF0E}">
      <selection activeCell="C26" sqref="C26"/>
      <pageMargins left="0.7" right="0.7" top="0.75" bottom="0.75" header="0.3" footer="0.3"/>
      <pageSetup paperSize="9" orientation="portrait" r:id="rId1"/>
    </customSheetView>
  </customSheetViews>
  <pageMargins left="0.7" right="0.7" top="0.75" bottom="0.75" header="0.3" footer="0.3"/>
  <pageSetup paperSize="9" orientation="portrait"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4">
    <tabColor rgb="FFC00000"/>
  </sheetPr>
  <dimension ref="A1:AB111"/>
  <sheetViews>
    <sheetView topLeftCell="U1" zoomScaleNormal="100" workbookViewId="0">
      <selection activeCell="Y3" sqref="Y3"/>
    </sheetView>
  </sheetViews>
  <sheetFormatPr defaultColWidth="54.28515625" defaultRowHeight="15" x14ac:dyDescent="0.25"/>
  <cols>
    <col min="1" max="1" width="10" style="1" bestFit="1" customWidth="1"/>
    <col min="2" max="2" width="20" style="1" customWidth="1"/>
    <col min="3" max="4" width="21.42578125" style="1" bestFit="1" customWidth="1"/>
    <col min="5" max="5" width="22.28515625" style="1" customWidth="1"/>
    <col min="6" max="6" width="21.42578125" style="1" customWidth="1"/>
    <col min="7" max="7" width="21.42578125" style="122" customWidth="1"/>
    <col min="8" max="17" width="21.42578125" style="1" customWidth="1"/>
    <col min="18" max="18" width="21.42578125" customWidth="1"/>
    <col min="19" max="19" width="22" customWidth="1"/>
    <col min="20" max="20" width="101.42578125" style="1" customWidth="1"/>
    <col min="21" max="21" width="12.5703125" style="110" bestFit="1" customWidth="1"/>
    <col min="22" max="22" width="12.5703125" style="110" customWidth="1"/>
    <col min="23" max="23" width="56.28515625" style="1" bestFit="1" customWidth="1"/>
    <col min="24" max="24" width="81" style="1" customWidth="1"/>
    <col min="25" max="16384" width="54.28515625" style="1"/>
  </cols>
  <sheetData>
    <row r="1" spans="1:28" ht="13.5" thickBot="1" x14ac:dyDescent="0.25">
      <c r="A1" s="33" t="s">
        <v>1</v>
      </c>
      <c r="B1" s="33" t="s">
        <v>2</v>
      </c>
      <c r="C1" s="33" t="s">
        <v>29</v>
      </c>
      <c r="D1" s="33" t="s">
        <v>29</v>
      </c>
      <c r="E1" s="33" t="s">
        <v>66</v>
      </c>
      <c r="F1" s="33" t="s">
        <v>64</v>
      </c>
      <c r="G1" s="121" t="s">
        <v>65</v>
      </c>
      <c r="H1" s="33" t="s">
        <v>3</v>
      </c>
      <c r="I1" s="33" t="s">
        <v>4</v>
      </c>
      <c r="J1" s="33" t="s">
        <v>24</v>
      </c>
      <c r="K1" s="33" t="s">
        <v>59</v>
      </c>
      <c r="L1" s="33" t="s">
        <v>60</v>
      </c>
      <c r="M1" s="33" t="s">
        <v>11</v>
      </c>
      <c r="N1" s="33" t="s">
        <v>9</v>
      </c>
      <c r="O1" s="33" t="s">
        <v>9</v>
      </c>
      <c r="P1" s="33" t="s">
        <v>20</v>
      </c>
      <c r="Q1" s="33" t="s">
        <v>20</v>
      </c>
      <c r="R1" s="33" t="s">
        <v>30</v>
      </c>
      <c r="S1" s="33" t="s">
        <v>31</v>
      </c>
      <c r="T1" s="33" t="s">
        <v>32</v>
      </c>
      <c r="U1" s="33" t="s">
        <v>61</v>
      </c>
      <c r="V1" s="33" t="s">
        <v>62</v>
      </c>
      <c r="W1" s="33"/>
      <c r="X1" s="33" t="s">
        <v>28</v>
      </c>
    </row>
    <row r="2" spans="1:28" ht="15" customHeight="1" x14ac:dyDescent="0.25">
      <c r="A2" s="123" t="s">
        <v>73</v>
      </c>
      <c r="B2" s="123" t="s">
        <v>70</v>
      </c>
      <c r="C2" s="123" t="s">
        <v>71</v>
      </c>
      <c r="D2" s="123" t="s">
        <v>72</v>
      </c>
      <c r="E2" s="123" t="s">
        <v>63</v>
      </c>
      <c r="F2" s="123"/>
      <c r="G2" s="123"/>
      <c r="H2" s="103" t="str">
        <f t="shared" ref="H2:H29" si="0">+IFERROR(LEFT(C2,FIND(" ",C2,1)-1)," ")</f>
        <v>500.000</v>
      </c>
      <c r="I2" s="103" t="str">
        <f t="shared" ref="I2:I29" si="1">IFERROR(+MID(C2,FIND("TL",C2)+2,FIND("Ay",C2)-FIND(" ",C2)-3)," ")</f>
        <v xml:space="preserve"> 12 </v>
      </c>
      <c r="J2" s="112" t="str">
        <f t="shared" ref="J2:J29" si="2">IFERROR(+MID(C2,FIND("%",C2),LEN(C2)-FIND("%",C2)+1)," ")</f>
        <v>%1,49</v>
      </c>
      <c r="K2" s="112"/>
      <c r="L2" s="112">
        <v>3.4000000000000002E-2</v>
      </c>
      <c r="M2" s="113">
        <f>IFERROR(PMT(J2,I2,H2)," ")</f>
        <v>-45811.446487908928</v>
      </c>
      <c r="N2" s="113">
        <f>IFERROR(PV(K2,I2,M2)," ")</f>
        <v>549737.35785490717</v>
      </c>
      <c r="O2" s="113">
        <f>IFERROR(H2-N2," ")</f>
        <v>-49737.357854907168</v>
      </c>
      <c r="P2" s="113">
        <f>IFERROR(PV(L2,I2,M2)," ")</f>
        <v>445308.07286247378</v>
      </c>
      <c r="Q2" s="113">
        <f t="shared" ref="Q2:Q29" si="3">IFERROR(H2-P2," ")</f>
        <v>54691.927137526218</v>
      </c>
      <c r="R2" s="103" t="str">
        <f>+IF(AND($X2='KATKILI İŞLEMLER'!$F$4,'KATKILI İŞLEMLER'!$D$4="BİREYSEL",U2&gt;0),IF(COUNTIF($R$1:R1,$C2)=0,$C2,""),IF(AND($X2='KATKILI İŞLEMLER'!$F$4,'KATKILI İŞLEMLER'!$D$4="TİCARİ"),IF(COUNTIF($R$1:R1,$C2)=0,$C2,""),""))</f>
        <v>500.000 TL 12 Ay %1,49</v>
      </c>
      <c r="S2" s="103" t="str">
        <f t="array" ref="S2">+IF(COUNTA($C$2:$C$462)=0,"KAMPANYA YOK",IFERROR(INDEX($R$2:$R$33,MATCH(0,IF(($R$2:$R$33&lt;&gt;"")*($C$2:$C$462&lt;&gt;""),COUNTIF($S$1:S1,$R$2:$R$33),1),0)),"KAMPANYA YOK"))</f>
        <v>500.000 TL 12 Ay %1,49</v>
      </c>
      <c r="T2" s="104" t="str">
        <f t="shared" ref="T2:T29" si="4">A2&amp;B2&amp;C2</f>
        <v>MGMG7500.000 TL 12 Ay %1,49</v>
      </c>
      <c r="U2" s="109">
        <f t="shared" ref="U2:U29" si="5">IF(G2="",0,IFERROR(O2*1.3,"0"))</f>
        <v>0</v>
      </c>
      <c r="V2" s="109">
        <f>IFERROR(Q2*1.05,"0")</f>
        <v>57426.523494402529</v>
      </c>
      <c r="W2" s="103" t="s">
        <v>68</v>
      </c>
      <c r="X2" s="103" t="str">
        <f t="shared" ref="X2:X29" si="6">A2&amp;B2</f>
        <v>MGMG7</v>
      </c>
      <c r="Y2" s="1" t="str">
        <f>+IF(OR(AND('KATKILI İŞLEMLER'!$D$4="BİREYSEL",'KATKI PAYI'!U2&lt;&gt;0),AND('KATKILI İŞLEMLER'!$D$4="TİCARİ",'KATKI PAYI'!V2&lt;&gt;0)),'KATKI PAYI'!B2,"")</f>
        <v>MG7</v>
      </c>
      <c r="Z2" s="1" t="str">
        <f>+IF(COUNTIF(Y$2:Y2,Y2)=1,Y2,"")</f>
        <v>MG7</v>
      </c>
      <c r="AA2" s="1" t="str">
        <f t="array" ref="AA2">+IFERROR(INDEX(Z:Z,SMALL(IF(Z$2:Z$96&lt;&gt;"",ROW(Z$2:Z$96)),ROW(1:1))),"")</f>
        <v>MG7</v>
      </c>
      <c r="AB2" s="1" t="str">
        <f>+IF(AA2&lt;&gt;"",AA2,NA())</f>
        <v>MG7</v>
      </c>
    </row>
    <row r="3" spans="1:28" ht="15" customHeight="1" x14ac:dyDescent="0.25">
      <c r="A3" s="123" t="s">
        <v>73</v>
      </c>
      <c r="B3" s="123"/>
      <c r="C3" s="123"/>
      <c r="D3" s="123"/>
      <c r="E3" s="123"/>
      <c r="F3" s="123"/>
      <c r="G3" s="123"/>
      <c r="H3" s="103" t="str">
        <f t="shared" si="0"/>
        <v xml:space="preserve"> </v>
      </c>
      <c r="I3" s="103" t="str">
        <f t="shared" si="1"/>
        <v xml:space="preserve"> </v>
      </c>
      <c r="J3" s="112" t="str">
        <f t="shared" si="2"/>
        <v xml:space="preserve"> </v>
      </c>
      <c r="K3" s="112">
        <v>3.2899999999999999E-2</v>
      </c>
      <c r="L3" s="112">
        <v>3.4000000000000002E-2</v>
      </c>
      <c r="M3" s="113" t="str">
        <f t="shared" ref="M3:M29" si="7">IFERROR(PMT(J3,I3,H3)," ")</f>
        <v xml:space="preserve"> </v>
      </c>
      <c r="N3" s="113" t="str">
        <f t="shared" ref="N3:N29" si="8">IFERROR(PV(K3,I3,M3)," ")</f>
        <v xml:space="preserve"> </v>
      </c>
      <c r="O3" s="113" t="str">
        <f t="shared" ref="O3:O29" si="9">IFERROR(H3-N3," ")</f>
        <v xml:space="preserve"> </v>
      </c>
      <c r="P3" s="113" t="str">
        <f t="shared" ref="P3:P29" si="10">IFERROR(PV(L3,I3,M3)," ")</f>
        <v xml:space="preserve"> </v>
      </c>
      <c r="Q3" s="113" t="str">
        <f t="shared" si="3"/>
        <v xml:space="preserve"> </v>
      </c>
      <c r="R3" s="103" t="str">
        <f>+IF(AND($X3='KATKILI İŞLEMLER'!$F$4,'KATKILI İŞLEMLER'!$D$4="BİREYSEL",U3&gt;0),IF(COUNTIF($R$1:R2,$C3)=0,$C3,""),IF(AND($X3='KATKILI İŞLEMLER'!$F$4,'KATKILI İŞLEMLER'!$D$4="TİCARİ"),IF(COUNTIF($R$1:R2,$C3)=0,$C3,""),""))</f>
        <v/>
      </c>
      <c r="S3" s="103" t="str">
        <f t="array" ref="S3">+IF(COUNTA($C$2:$C$462)=0,"KAMPANYA YOK",IFERROR(INDEX($R$2:$R$33,MATCH(0,IF(($R$2:$R$33&lt;&gt;"")*($C$2:$C$462&lt;&gt;""),COUNTIF($S$1:S2,$R$2:$R$33),1),0)),""))</f>
        <v/>
      </c>
      <c r="T3" s="104" t="str">
        <f t="shared" si="4"/>
        <v>MG</v>
      </c>
      <c r="U3" s="109">
        <f t="shared" si="5"/>
        <v>0</v>
      </c>
      <c r="V3" s="109" t="str">
        <f t="shared" ref="V3:V29" si="11">IFERROR(Q3*1.05,"0")</f>
        <v>0</v>
      </c>
      <c r="W3" s="103" t="s">
        <v>68</v>
      </c>
      <c r="X3" s="103" t="str">
        <f t="shared" si="6"/>
        <v>MG</v>
      </c>
      <c r="Y3" s="1">
        <f>+IF(OR(AND('KATKILI İŞLEMLER'!$D$4="BİREYSEL",'KATKI PAYI'!U3&lt;&gt;0),AND('KATKILI İŞLEMLER'!$D$4="TİCARİ",'KATKI PAYI'!V3&lt;&gt;0)),'KATKI PAYI'!B3,"")</f>
        <v>0</v>
      </c>
      <c r="Z3" s="1" t="str">
        <f>+IF(COUNTIF(Y$2:Y33,Y3)=1,Y3,"")</f>
        <v/>
      </c>
      <c r="AA3" s="1" t="str">
        <f t="array" ref="AA3">+IFERROR(INDEX(Z:Z,SMALL(IF(Z$2:Z$96&lt;&gt;"",ROW(Z$2:Z$96)),ROW(2:2))),"")</f>
        <v/>
      </c>
      <c r="AB3" s="1" t="e">
        <f t="shared" ref="AB3:AB62" si="12">+IF(AA3&lt;&gt;"",AA3,NA())</f>
        <v>#N/A</v>
      </c>
    </row>
    <row r="4" spans="1:28" ht="15" customHeight="1" x14ac:dyDescent="0.25">
      <c r="A4" s="123" t="s">
        <v>73</v>
      </c>
      <c r="B4" s="123"/>
      <c r="C4" s="123"/>
      <c r="D4" s="123"/>
      <c r="E4" s="123"/>
      <c r="F4" s="123"/>
      <c r="G4" s="123"/>
      <c r="H4" s="103" t="str">
        <f t="shared" si="0"/>
        <v xml:space="preserve"> </v>
      </c>
      <c r="I4" s="103" t="str">
        <f t="shared" si="1"/>
        <v xml:space="preserve"> </v>
      </c>
      <c r="J4" s="112" t="str">
        <f t="shared" si="2"/>
        <v xml:space="preserve"> </v>
      </c>
      <c r="K4" s="112">
        <v>3.2899999999999999E-2</v>
      </c>
      <c r="L4" s="112">
        <v>3.4000000000000002E-2</v>
      </c>
      <c r="M4" s="113" t="str">
        <f t="shared" si="7"/>
        <v xml:space="preserve"> </v>
      </c>
      <c r="N4" s="113" t="str">
        <f t="shared" si="8"/>
        <v xml:space="preserve"> </v>
      </c>
      <c r="O4" s="113" t="str">
        <f t="shared" si="9"/>
        <v xml:space="preserve"> </v>
      </c>
      <c r="P4" s="113" t="str">
        <f t="shared" si="10"/>
        <v xml:space="preserve"> </v>
      </c>
      <c r="Q4" s="113" t="str">
        <f t="shared" si="3"/>
        <v xml:space="preserve"> </v>
      </c>
      <c r="R4" s="103" t="str">
        <f>+IF(AND($X4='KATKILI İŞLEMLER'!$F$4,'KATKILI İŞLEMLER'!$D$4="BİREYSEL",U4&gt;0),IF(COUNTIF($R$1:R3,$C4)=0,$C4,""),IF(AND($X4='KATKILI İŞLEMLER'!$F$4,'KATKILI İŞLEMLER'!$D$4="TİCARİ"),IF(COUNTIF($R$1:R3,$C4)=0,$C4,""),""))</f>
        <v/>
      </c>
      <c r="S4" s="103" t="str">
        <f t="array" ref="S4">+IF(COUNTA($C$2:$C$462)=0,"KAMPANYA YOK",IFERROR(INDEX($R$2:$R$33,MATCH(0,IF(($R$2:$R$33&lt;&gt;"")*($C$2:$C$462&lt;&gt;""),COUNTIF($S$1:S3,$R$2:$R$33),1),0)),""))</f>
        <v/>
      </c>
      <c r="T4" s="104" t="str">
        <f t="shared" si="4"/>
        <v>MG</v>
      </c>
      <c r="U4" s="109">
        <f t="shared" si="5"/>
        <v>0</v>
      </c>
      <c r="V4" s="109" t="str">
        <f t="shared" si="11"/>
        <v>0</v>
      </c>
      <c r="W4" s="103" t="s">
        <v>68</v>
      </c>
      <c r="X4" s="103" t="str">
        <f t="shared" si="6"/>
        <v>MG</v>
      </c>
      <c r="Y4" s="1">
        <f>+IF(OR(AND('KATKILI İŞLEMLER'!$D$4="BİREYSEL",'KATKI PAYI'!U4&lt;&gt;0),AND('KATKILI İŞLEMLER'!$D$4="TİCARİ",'KATKI PAYI'!V4&lt;&gt;0)),'KATKI PAYI'!B4,"")</f>
        <v>0</v>
      </c>
      <c r="Z4" s="1" t="str">
        <f>+IF(COUNTIF(Y$2:Y33,Y4)=1,Y4,"")</f>
        <v/>
      </c>
      <c r="AA4" s="1" t="str">
        <f t="array" ref="AA4">+IFERROR(INDEX(Z:Z,SMALL(IF(Z$2:Z$96&lt;&gt;"",ROW(Z$2:Z$96)),ROW(3:3))),"")</f>
        <v/>
      </c>
      <c r="AB4" s="1" t="e">
        <f t="shared" si="12"/>
        <v>#N/A</v>
      </c>
    </row>
    <row r="5" spans="1:28" ht="15" customHeight="1" x14ac:dyDescent="0.25">
      <c r="A5" s="123" t="s">
        <v>73</v>
      </c>
      <c r="B5" s="123"/>
      <c r="C5" s="123"/>
      <c r="D5" s="123"/>
      <c r="E5" s="123"/>
      <c r="F5" s="123"/>
      <c r="G5" s="123"/>
      <c r="H5" s="103" t="str">
        <f t="shared" si="0"/>
        <v xml:space="preserve"> </v>
      </c>
      <c r="I5" s="103" t="str">
        <f t="shared" si="1"/>
        <v xml:space="preserve"> </v>
      </c>
      <c r="J5" s="112" t="str">
        <f t="shared" si="2"/>
        <v xml:space="preserve"> </v>
      </c>
      <c r="K5" s="112">
        <v>3.2899999999999999E-2</v>
      </c>
      <c r="L5" s="112">
        <v>3.56E-2</v>
      </c>
      <c r="M5" s="113" t="str">
        <f t="shared" si="7"/>
        <v xml:space="preserve"> </v>
      </c>
      <c r="N5" s="113" t="str">
        <f t="shared" si="8"/>
        <v xml:space="preserve"> </v>
      </c>
      <c r="O5" s="113" t="str">
        <f t="shared" si="9"/>
        <v xml:space="preserve"> </v>
      </c>
      <c r="P5" s="113" t="str">
        <f t="shared" si="10"/>
        <v xml:space="preserve"> </v>
      </c>
      <c r="Q5" s="113" t="str">
        <f t="shared" si="3"/>
        <v xml:space="preserve"> </v>
      </c>
      <c r="R5" s="103" t="str">
        <f>+IF(AND($X5='KATKILI İŞLEMLER'!$F$4,'KATKILI İŞLEMLER'!$D$4="BİREYSEL",U5&gt;0),IF(COUNTIF($R$1:R4,$C5)=0,$C5,""),IF(AND($X5='KATKILI İŞLEMLER'!$F$4,'KATKILI İŞLEMLER'!$D$4="TİCARİ"),IF(COUNTIF($R$1:R4,$C5)=0,$C5,""),""))</f>
        <v/>
      </c>
      <c r="S5" s="103" t="str">
        <f t="array" ref="S5">+IF(COUNTA($C$2:$C$462)=0,"KAMPANYA YOK",IFERROR(INDEX($R$2:$R$33,MATCH(0,IF(($R$2:$R$33&lt;&gt;"")*($C$2:$C$462&lt;&gt;""),COUNTIF($S$1:S4,$R$2:$R$33),1),0)),""))</f>
        <v/>
      </c>
      <c r="T5" s="104" t="str">
        <f t="shared" si="4"/>
        <v>MG</v>
      </c>
      <c r="U5" s="109">
        <f t="shared" si="5"/>
        <v>0</v>
      </c>
      <c r="V5" s="109" t="str">
        <f t="shared" si="11"/>
        <v>0</v>
      </c>
      <c r="W5" s="103" t="s">
        <v>68</v>
      </c>
      <c r="X5" s="103" t="str">
        <f t="shared" si="6"/>
        <v>MG</v>
      </c>
      <c r="Y5" s="1">
        <f>+IF(OR(AND('KATKILI İŞLEMLER'!$D$4="BİREYSEL",'KATKI PAYI'!U5&lt;&gt;0),AND('KATKILI İŞLEMLER'!$D$4="TİCARİ",'KATKI PAYI'!V5&lt;&gt;0)),'KATKI PAYI'!B5,"")</f>
        <v>0</v>
      </c>
      <c r="Z5" s="1" t="str">
        <f>+IF(COUNTIF(Y$2:Y34,Y5)=1,Y5,"")</f>
        <v/>
      </c>
      <c r="AA5" s="1" t="str">
        <f t="array" ref="AA5">+IFERROR(INDEX(Z:Z,SMALL(IF(Z$2:Z$96&lt;&gt;"",ROW(Z$2:Z$96)),ROW(4:4))),"")</f>
        <v/>
      </c>
      <c r="AB5" s="1" t="e">
        <f t="shared" si="12"/>
        <v>#N/A</v>
      </c>
    </row>
    <row r="6" spans="1:28" ht="15" customHeight="1" x14ac:dyDescent="0.25">
      <c r="A6" s="123" t="s">
        <v>73</v>
      </c>
      <c r="B6" s="123"/>
      <c r="C6" s="123"/>
      <c r="D6" s="123"/>
      <c r="E6" s="123"/>
      <c r="F6" s="123"/>
      <c r="G6" s="123"/>
      <c r="H6" s="103" t="str">
        <f t="shared" si="0"/>
        <v xml:space="preserve"> </v>
      </c>
      <c r="I6" s="103" t="str">
        <f t="shared" si="1"/>
        <v xml:space="preserve"> </v>
      </c>
      <c r="J6" s="112" t="str">
        <f t="shared" si="2"/>
        <v xml:space="preserve"> </v>
      </c>
      <c r="K6" s="112">
        <v>3.2899999999999999E-2</v>
      </c>
      <c r="L6" s="112">
        <v>3.56E-2</v>
      </c>
      <c r="M6" s="113" t="str">
        <f t="shared" si="7"/>
        <v xml:space="preserve"> </v>
      </c>
      <c r="N6" s="113" t="str">
        <f t="shared" si="8"/>
        <v xml:space="preserve"> </v>
      </c>
      <c r="O6" s="113" t="str">
        <f t="shared" si="9"/>
        <v xml:space="preserve"> </v>
      </c>
      <c r="P6" s="113" t="str">
        <f t="shared" si="10"/>
        <v xml:space="preserve"> </v>
      </c>
      <c r="Q6" s="113" t="str">
        <f t="shared" si="3"/>
        <v xml:space="preserve"> </v>
      </c>
      <c r="R6" s="103" t="str">
        <f>+IF(AND($X6='KATKILI İŞLEMLER'!$F$4,'KATKILI İŞLEMLER'!$D$4="BİREYSEL",U6&gt;0),IF(COUNTIF($R$1:R5,$C6)=0,$C6,""),IF(AND($X6='KATKILI İŞLEMLER'!$F$4,'KATKILI İŞLEMLER'!$D$4="TİCARİ"),IF(COUNTIF($R$1:R5,$C6)=0,$C6,""),""))</f>
        <v/>
      </c>
      <c r="S6" s="103" t="str">
        <f t="array" ref="S6">+IF(COUNTA($C$2:$C$462)=0,"KAMPANYA YOK",IFERROR(INDEX($R$2:$R$33,MATCH(0,IF(($R$2:$R$33&lt;&gt;"")*($C$2:$C$462&lt;&gt;""),COUNTIF($S$1:S5,$R$2:$R$33),1),0)),""))</f>
        <v/>
      </c>
      <c r="T6" s="104" t="str">
        <f t="shared" si="4"/>
        <v>MG</v>
      </c>
      <c r="U6" s="109">
        <f t="shared" si="5"/>
        <v>0</v>
      </c>
      <c r="V6" s="109" t="str">
        <f t="shared" si="11"/>
        <v>0</v>
      </c>
      <c r="W6" s="103" t="s">
        <v>68</v>
      </c>
      <c r="X6" s="103" t="str">
        <f t="shared" si="6"/>
        <v>MG</v>
      </c>
      <c r="Y6" s="1">
        <f>+IF(OR(AND('KATKILI İŞLEMLER'!$D$4="BİREYSEL",'KATKI PAYI'!U6&lt;&gt;0),AND('KATKILI İŞLEMLER'!$D$4="TİCARİ",'KATKI PAYI'!V6&lt;&gt;0)),'KATKI PAYI'!B6,"")</f>
        <v>0</v>
      </c>
      <c r="Z6" s="1" t="str">
        <f>+IF(COUNTIF(Y$2:Y35,Y6)=1,Y6,"")</f>
        <v/>
      </c>
      <c r="AA6" s="1" t="str">
        <f t="array" ref="AA6">+IFERROR(INDEX(Z:Z,SMALL(IF(Z$2:Z$96&lt;&gt;"",ROW(Z$2:Z$96)),ROW(5:5))),"")</f>
        <v/>
      </c>
      <c r="AB6" s="1" t="e">
        <f t="shared" si="12"/>
        <v>#N/A</v>
      </c>
    </row>
    <row r="7" spans="1:28" ht="15" customHeight="1" x14ac:dyDescent="0.25">
      <c r="A7" s="123" t="s">
        <v>73</v>
      </c>
      <c r="B7" s="123"/>
      <c r="C7" s="123"/>
      <c r="D7" s="123"/>
      <c r="E7" s="123"/>
      <c r="F7" s="123"/>
      <c r="G7" s="123"/>
      <c r="H7" s="103" t="str">
        <f t="shared" si="0"/>
        <v xml:space="preserve"> </v>
      </c>
      <c r="I7" s="103" t="str">
        <f t="shared" si="1"/>
        <v xml:space="preserve"> </v>
      </c>
      <c r="J7" s="112" t="str">
        <f t="shared" si="2"/>
        <v xml:space="preserve"> </v>
      </c>
      <c r="K7" s="112">
        <v>3.2899999999999999E-2</v>
      </c>
      <c r="L7" s="112">
        <v>3.56E-2</v>
      </c>
      <c r="M7" s="113" t="str">
        <f t="shared" si="7"/>
        <v xml:space="preserve"> </v>
      </c>
      <c r="N7" s="113" t="str">
        <f t="shared" si="8"/>
        <v xml:space="preserve"> </v>
      </c>
      <c r="O7" s="113" t="str">
        <f t="shared" si="9"/>
        <v xml:space="preserve"> </v>
      </c>
      <c r="P7" s="113" t="str">
        <f t="shared" si="10"/>
        <v xml:space="preserve"> </v>
      </c>
      <c r="Q7" s="113" t="str">
        <f t="shared" si="3"/>
        <v xml:space="preserve"> </v>
      </c>
      <c r="R7" s="103" t="str">
        <f>+IF(AND($X7='KATKILI İŞLEMLER'!$F$4,'KATKILI İŞLEMLER'!$D$4="BİREYSEL",U7&gt;0),IF(COUNTIF($R$1:R6,$C7)=0,$C7,""),IF(AND($X7='KATKILI İŞLEMLER'!$F$4,'KATKILI İŞLEMLER'!$D$4="TİCARİ"),IF(COUNTIF($R$1:R6,$C7)=0,$C7,""),""))</f>
        <v/>
      </c>
      <c r="S7" s="103" t="str">
        <f t="array" ref="S7">+IF(COUNTA($C$2:$C$462)=0,"KAMPANYA YOK",IFERROR(INDEX($R$2:$R$33,MATCH(0,IF(($R$2:$R$33&lt;&gt;"")*($C$2:$C$462&lt;&gt;""),COUNTIF($S$1:S6,$R$2:$R$33),1),0)),""))</f>
        <v/>
      </c>
      <c r="T7" s="104" t="str">
        <f t="shared" si="4"/>
        <v>MG</v>
      </c>
      <c r="U7" s="109">
        <f t="shared" si="5"/>
        <v>0</v>
      </c>
      <c r="V7" s="109" t="str">
        <f t="shared" si="11"/>
        <v>0</v>
      </c>
      <c r="W7" s="103" t="s">
        <v>68</v>
      </c>
      <c r="X7" s="103" t="str">
        <f t="shared" si="6"/>
        <v>MG</v>
      </c>
      <c r="Y7" s="1">
        <f>+IF(OR(AND('KATKILI İŞLEMLER'!$D$4="BİREYSEL",'KATKI PAYI'!U7&lt;&gt;0),AND('KATKILI İŞLEMLER'!$D$4="TİCARİ",'KATKI PAYI'!V7&lt;&gt;0)),'KATKI PAYI'!B7,"")</f>
        <v>0</v>
      </c>
      <c r="Z7" s="1" t="str">
        <f>+IF(COUNTIF(Y$2:Y36,Y7)=1,Y7,"")</f>
        <v/>
      </c>
      <c r="AA7" s="1" t="str">
        <f t="array" ref="AA7">+IFERROR(INDEX(Z:Z,SMALL(IF(Z$2:Z$96&lt;&gt;"",ROW(Z$2:Z$96)),ROW(6:6))),"")</f>
        <v/>
      </c>
      <c r="AB7" s="1" t="e">
        <f t="shared" si="12"/>
        <v>#N/A</v>
      </c>
    </row>
    <row r="8" spans="1:28" ht="15" customHeight="1" x14ac:dyDescent="0.25">
      <c r="A8" s="123" t="s">
        <v>73</v>
      </c>
      <c r="B8" s="123"/>
      <c r="C8" s="123"/>
      <c r="D8" s="123"/>
      <c r="E8" s="123"/>
      <c r="F8" s="123"/>
      <c r="G8" s="123"/>
      <c r="H8" s="103" t="str">
        <f t="shared" si="0"/>
        <v xml:space="preserve"> </v>
      </c>
      <c r="I8" s="103" t="str">
        <f t="shared" si="1"/>
        <v xml:space="preserve"> </v>
      </c>
      <c r="J8" s="112" t="str">
        <f t="shared" si="2"/>
        <v xml:space="preserve"> </v>
      </c>
      <c r="K8" s="112">
        <v>3.2899999999999999E-2</v>
      </c>
      <c r="L8" s="112">
        <v>3.56E-2</v>
      </c>
      <c r="M8" s="113" t="str">
        <f t="shared" si="7"/>
        <v xml:space="preserve"> </v>
      </c>
      <c r="N8" s="113" t="str">
        <f t="shared" si="8"/>
        <v xml:space="preserve"> </v>
      </c>
      <c r="O8" s="113" t="str">
        <f t="shared" si="9"/>
        <v xml:space="preserve"> </v>
      </c>
      <c r="P8" s="113" t="str">
        <f t="shared" si="10"/>
        <v xml:space="preserve"> </v>
      </c>
      <c r="Q8" s="113" t="str">
        <f t="shared" si="3"/>
        <v xml:space="preserve"> </v>
      </c>
      <c r="R8" s="103" t="str">
        <f>+IF(AND($X8='KATKILI İŞLEMLER'!$F$4,'KATKILI İŞLEMLER'!$D$4="BİREYSEL",U8&gt;0),IF(COUNTIF($R$1:R7,$C8)=0,$C8,""),IF(AND($X8='KATKILI İŞLEMLER'!$F$4,'KATKILI İŞLEMLER'!$D$4="TİCARİ"),IF(COUNTIF($R$1:R7,$C8)=0,$C8,""),""))</f>
        <v/>
      </c>
      <c r="S8" s="103" t="str">
        <f t="array" ref="S8">+IF(COUNTA($C$2:$C$462)=0,"KAMPANYA YOK",IFERROR(INDEX($R$2:$R$33,MATCH(0,IF(($R$2:$R$33&lt;&gt;"")*($C$2:$C$462&lt;&gt;""),COUNTIF($S$1:S7,$R$2:$R$33),1),0)),""))</f>
        <v/>
      </c>
      <c r="T8" s="104" t="str">
        <f t="shared" si="4"/>
        <v>MG</v>
      </c>
      <c r="U8" s="109">
        <f t="shared" si="5"/>
        <v>0</v>
      </c>
      <c r="V8" s="109" t="str">
        <f t="shared" si="11"/>
        <v>0</v>
      </c>
      <c r="W8" s="103" t="s">
        <v>68</v>
      </c>
      <c r="X8" s="103" t="str">
        <f t="shared" si="6"/>
        <v>MG</v>
      </c>
      <c r="Y8" s="1">
        <f>+IF(OR(AND('KATKILI İŞLEMLER'!$D$4="BİREYSEL",'KATKI PAYI'!U8&lt;&gt;0),AND('KATKILI İŞLEMLER'!$D$4="TİCARİ",'KATKI PAYI'!V8&lt;&gt;0)),'KATKI PAYI'!B8,"")</f>
        <v>0</v>
      </c>
      <c r="Z8" s="1" t="str">
        <f>+IF(COUNTIF(Y$2:Y37,Y8)=1,Y8,"")</f>
        <v/>
      </c>
      <c r="AA8" s="1" t="str">
        <f t="array" ref="AA8">+IFERROR(INDEX(Z:Z,SMALL(IF(Z$2:Z$96&lt;&gt;"",ROW(Z$2:Z$96)),ROW(7:7))),"")</f>
        <v/>
      </c>
      <c r="AB8" s="1" t="e">
        <f t="shared" si="12"/>
        <v>#N/A</v>
      </c>
    </row>
    <row r="9" spans="1:28" ht="15" customHeight="1" x14ac:dyDescent="0.25">
      <c r="A9" s="123" t="s">
        <v>73</v>
      </c>
      <c r="B9" s="123"/>
      <c r="C9" s="123"/>
      <c r="D9" s="123"/>
      <c r="E9" s="123"/>
      <c r="F9" s="123"/>
      <c r="G9" s="123"/>
      <c r="H9" s="103" t="str">
        <f t="shared" si="0"/>
        <v xml:space="preserve"> </v>
      </c>
      <c r="I9" s="103" t="str">
        <f t="shared" si="1"/>
        <v xml:space="preserve"> </v>
      </c>
      <c r="J9" s="112" t="str">
        <f t="shared" si="2"/>
        <v xml:space="preserve"> </v>
      </c>
      <c r="K9" s="112">
        <v>3.2899999999999999E-2</v>
      </c>
      <c r="L9" s="112">
        <v>3.56E-2</v>
      </c>
      <c r="M9" s="113" t="str">
        <f t="shared" si="7"/>
        <v xml:space="preserve"> </v>
      </c>
      <c r="N9" s="113" t="str">
        <f t="shared" si="8"/>
        <v xml:space="preserve"> </v>
      </c>
      <c r="O9" s="113" t="str">
        <f t="shared" si="9"/>
        <v xml:space="preserve"> </v>
      </c>
      <c r="P9" s="113" t="str">
        <f t="shared" si="10"/>
        <v xml:space="preserve"> </v>
      </c>
      <c r="Q9" s="113" t="str">
        <f t="shared" si="3"/>
        <v xml:space="preserve"> </v>
      </c>
      <c r="R9" s="103" t="str">
        <f>+IF(AND($X9='KATKILI İŞLEMLER'!$F$4,'KATKILI İŞLEMLER'!$D$4="BİREYSEL",U9&gt;0),IF(COUNTIF($R$1:R8,$C9)=0,$C9,""),IF(AND($X9='KATKILI İŞLEMLER'!$F$4,'KATKILI İŞLEMLER'!$D$4="TİCARİ"),IF(COUNTIF($R$1:R8,$C9)=0,$C9,""),""))</f>
        <v/>
      </c>
      <c r="S9" s="103" t="str">
        <f t="array" ref="S9">+IF(COUNTA($C$2:$C$462)=0,"KAMPANYA YOK",IFERROR(INDEX($R$2:$R$33,MATCH(0,IF(($R$2:$R$33&lt;&gt;"")*($C$2:$C$462&lt;&gt;""),COUNTIF($S$1:S8,$R$2:$R$33),1),0)),""))</f>
        <v/>
      </c>
      <c r="T9" s="104" t="str">
        <f t="shared" si="4"/>
        <v>MG</v>
      </c>
      <c r="U9" s="109">
        <f t="shared" si="5"/>
        <v>0</v>
      </c>
      <c r="V9" s="109" t="str">
        <f t="shared" si="11"/>
        <v>0</v>
      </c>
      <c r="W9" s="103" t="s">
        <v>68</v>
      </c>
      <c r="X9" s="103" t="str">
        <f t="shared" si="6"/>
        <v>MG</v>
      </c>
      <c r="Y9" s="1">
        <f>+IF(OR(AND('KATKILI İŞLEMLER'!$D$4="BİREYSEL",'KATKI PAYI'!U9&lt;&gt;0),AND('KATKILI İŞLEMLER'!$D$4="TİCARİ",'KATKI PAYI'!V9&lt;&gt;0)),'KATKI PAYI'!B9,"")</f>
        <v>0</v>
      </c>
      <c r="Z9" s="1" t="str">
        <f>+IF(COUNTIF(Y$2:Y38,Y9)=1,Y9,"")</f>
        <v/>
      </c>
      <c r="AA9" s="1" t="str">
        <f t="array" ref="AA9">+IFERROR(INDEX(Z:Z,SMALL(IF(Z$2:Z$96&lt;&gt;"",ROW(Z$2:Z$96)),ROW(8:8))),"")</f>
        <v/>
      </c>
      <c r="AB9" s="1" t="e">
        <f t="shared" si="12"/>
        <v>#N/A</v>
      </c>
    </row>
    <row r="10" spans="1:28" ht="15" customHeight="1" x14ac:dyDescent="0.25">
      <c r="A10" s="123" t="s">
        <v>73</v>
      </c>
      <c r="B10" s="123"/>
      <c r="C10" s="123"/>
      <c r="D10" s="123"/>
      <c r="E10" s="123"/>
      <c r="F10" s="123"/>
      <c r="G10" s="123"/>
      <c r="H10" s="103" t="str">
        <f t="shared" si="0"/>
        <v xml:space="preserve"> </v>
      </c>
      <c r="I10" s="103" t="str">
        <f t="shared" si="1"/>
        <v xml:space="preserve"> </v>
      </c>
      <c r="J10" s="112" t="str">
        <f t="shared" si="2"/>
        <v xml:space="preserve"> </v>
      </c>
      <c r="K10" s="112">
        <v>3.2899999999999999E-2</v>
      </c>
      <c r="L10" s="112">
        <v>3.56E-2</v>
      </c>
      <c r="M10" s="113" t="str">
        <f t="shared" si="7"/>
        <v xml:space="preserve"> </v>
      </c>
      <c r="N10" s="113" t="str">
        <f t="shared" si="8"/>
        <v xml:space="preserve"> </v>
      </c>
      <c r="O10" s="113" t="str">
        <f t="shared" si="9"/>
        <v xml:space="preserve"> </v>
      </c>
      <c r="P10" s="113" t="str">
        <f t="shared" si="10"/>
        <v xml:space="preserve"> </v>
      </c>
      <c r="Q10" s="113" t="str">
        <f t="shared" si="3"/>
        <v xml:space="preserve"> </v>
      </c>
      <c r="R10" s="103" t="str">
        <f>+IF(AND($X10='KATKILI İŞLEMLER'!$F$4,'KATKILI İŞLEMLER'!$D$4="BİREYSEL",U10&gt;0),IF(COUNTIF($R$1:R9,$C10)=0,$C10,""),IF(AND($X10='KATKILI İŞLEMLER'!$F$4,'KATKILI İŞLEMLER'!$D$4="TİCARİ"),IF(COUNTIF($R$1:R9,$C10)=0,$C10,""),""))</f>
        <v/>
      </c>
      <c r="S10" s="103"/>
      <c r="T10" s="104" t="str">
        <f t="shared" si="4"/>
        <v>MG</v>
      </c>
      <c r="U10" s="109">
        <f t="shared" si="5"/>
        <v>0</v>
      </c>
      <c r="V10" s="109" t="str">
        <f t="shared" si="11"/>
        <v>0</v>
      </c>
      <c r="W10" s="103" t="s">
        <v>68</v>
      </c>
      <c r="X10" s="103" t="str">
        <f t="shared" si="6"/>
        <v>MG</v>
      </c>
      <c r="Y10" s="1">
        <f>+IF(OR(AND('KATKILI İŞLEMLER'!$D$4="BİREYSEL",'KATKI PAYI'!U10&lt;&gt;0),AND('KATKILI İŞLEMLER'!$D$4="TİCARİ",'KATKI PAYI'!V10&lt;&gt;0)),'KATKI PAYI'!B10,"")</f>
        <v>0</v>
      </c>
      <c r="Z10" s="1" t="str">
        <f>+IF(COUNTIF(Y$2:Y39,Y10)=1,Y10,"")</f>
        <v/>
      </c>
      <c r="AA10" s="1" t="str">
        <f t="array" ref="AA10">+IFERROR(INDEX(Z:Z,SMALL(IF(Z$2:Z$96&lt;&gt;"",ROW(Z$2:Z$96)),ROW(9:9))),"")</f>
        <v/>
      </c>
      <c r="AB10" s="1" t="e">
        <f t="shared" si="12"/>
        <v>#N/A</v>
      </c>
    </row>
    <row r="11" spans="1:28" ht="15" customHeight="1" x14ac:dyDescent="0.25">
      <c r="A11" s="123" t="s">
        <v>73</v>
      </c>
      <c r="B11" s="123"/>
      <c r="C11" s="123"/>
      <c r="D11" s="123"/>
      <c r="E11" s="123"/>
      <c r="F11" s="123"/>
      <c r="G11" s="123"/>
      <c r="H11" s="103" t="str">
        <f t="shared" si="0"/>
        <v xml:space="preserve"> </v>
      </c>
      <c r="I11" s="103" t="str">
        <f t="shared" si="1"/>
        <v xml:space="preserve"> </v>
      </c>
      <c r="J11" s="112" t="str">
        <f t="shared" si="2"/>
        <v xml:space="preserve"> </v>
      </c>
      <c r="K11" s="112">
        <v>3.2899999999999999E-2</v>
      </c>
      <c r="L11" s="112">
        <v>3.56E-2</v>
      </c>
      <c r="M11" s="113" t="str">
        <f t="shared" si="7"/>
        <v xml:space="preserve"> </v>
      </c>
      <c r="N11" s="113" t="str">
        <f t="shared" si="8"/>
        <v xml:space="preserve"> </v>
      </c>
      <c r="O11" s="113" t="str">
        <f t="shared" si="9"/>
        <v xml:space="preserve"> </v>
      </c>
      <c r="P11" s="113" t="str">
        <f t="shared" si="10"/>
        <v xml:space="preserve"> </v>
      </c>
      <c r="Q11" s="113" t="str">
        <f t="shared" si="3"/>
        <v xml:space="preserve"> </v>
      </c>
      <c r="R11" s="103" t="str">
        <f>+IF(AND($X11='KATKILI İŞLEMLER'!$F$4,'KATKILI İŞLEMLER'!$D$4="BİREYSEL",U11&gt;0),IF(COUNTIF($R$1:R10,$C11)=0,$C11,""),IF(AND($X11='KATKILI İŞLEMLER'!$F$4,'KATKILI İŞLEMLER'!$D$4="TİCARİ"),IF(COUNTIF($R$1:R10,$C11)=0,$C11,""),""))</f>
        <v/>
      </c>
      <c r="S11" s="103"/>
      <c r="T11" s="104" t="str">
        <f t="shared" si="4"/>
        <v>MG</v>
      </c>
      <c r="U11" s="109">
        <f t="shared" si="5"/>
        <v>0</v>
      </c>
      <c r="V11" s="109" t="str">
        <f t="shared" si="11"/>
        <v>0</v>
      </c>
      <c r="W11" s="103" t="s">
        <v>68</v>
      </c>
      <c r="X11" s="103" t="str">
        <f t="shared" si="6"/>
        <v>MG</v>
      </c>
      <c r="Y11" s="1">
        <f>+IF(OR(AND('KATKILI İŞLEMLER'!$D$4="BİREYSEL",'KATKI PAYI'!U11&lt;&gt;0),AND('KATKILI İŞLEMLER'!$D$4="TİCARİ",'KATKI PAYI'!V11&lt;&gt;0)),'KATKI PAYI'!B11,"")</f>
        <v>0</v>
      </c>
      <c r="Z11" s="1" t="str">
        <f>+IF(COUNTIF(Y$2:Y40,Y11)=1,Y11,"")</f>
        <v/>
      </c>
      <c r="AA11" s="1" t="str">
        <f t="array" ref="AA11">+IFERROR(INDEX(Z:Z,SMALL(IF(Z$2:Z$96&lt;&gt;"",ROW(Z$2:Z$96)),ROW(10:10))),"")</f>
        <v/>
      </c>
      <c r="AB11" s="1" t="e">
        <f t="shared" si="12"/>
        <v>#N/A</v>
      </c>
    </row>
    <row r="12" spans="1:28" ht="15" customHeight="1" x14ac:dyDescent="0.25">
      <c r="A12" s="123" t="s">
        <v>73</v>
      </c>
      <c r="B12" s="123"/>
      <c r="C12" s="123"/>
      <c r="D12" s="123"/>
      <c r="E12" s="123"/>
      <c r="F12" s="123"/>
      <c r="G12" s="123"/>
      <c r="H12" s="103" t="str">
        <f t="shared" si="0"/>
        <v xml:space="preserve"> </v>
      </c>
      <c r="I12" s="103" t="str">
        <f t="shared" si="1"/>
        <v xml:space="preserve"> </v>
      </c>
      <c r="J12" s="112" t="str">
        <f t="shared" si="2"/>
        <v xml:space="preserve"> </v>
      </c>
      <c r="K12" s="112">
        <v>3.2899999999999999E-2</v>
      </c>
      <c r="L12" s="112">
        <v>3.56E-2</v>
      </c>
      <c r="M12" s="113" t="str">
        <f t="shared" si="7"/>
        <v xml:space="preserve"> </v>
      </c>
      <c r="N12" s="113" t="str">
        <f t="shared" si="8"/>
        <v xml:space="preserve"> </v>
      </c>
      <c r="O12" s="113" t="str">
        <f t="shared" si="9"/>
        <v xml:space="preserve"> </v>
      </c>
      <c r="P12" s="113" t="str">
        <f t="shared" si="10"/>
        <v xml:space="preserve"> </v>
      </c>
      <c r="Q12" s="113" t="str">
        <f t="shared" si="3"/>
        <v xml:space="preserve"> </v>
      </c>
      <c r="R12" s="103" t="str">
        <f>+IF(AND($X12='KATKILI İŞLEMLER'!$F$4,'KATKILI İŞLEMLER'!$D$4="BİREYSEL",U12&gt;0),IF(COUNTIF($R$1:R11,$C12)=0,$C12,""),IF(AND($X12='KATKILI İŞLEMLER'!$F$4,'KATKILI İŞLEMLER'!$D$4="TİCARİ"),IF(COUNTIF($R$1:R11,$C12)=0,$C12,""),""))</f>
        <v/>
      </c>
      <c r="S12" s="103"/>
      <c r="T12" s="104" t="str">
        <f t="shared" si="4"/>
        <v>MG</v>
      </c>
      <c r="U12" s="109">
        <f t="shared" si="5"/>
        <v>0</v>
      </c>
      <c r="V12" s="109" t="str">
        <f t="shared" si="11"/>
        <v>0</v>
      </c>
      <c r="W12" s="103" t="s">
        <v>68</v>
      </c>
      <c r="X12" s="103" t="str">
        <f t="shared" si="6"/>
        <v>MG</v>
      </c>
      <c r="Y12" s="1">
        <f>+IF(OR(AND('KATKILI İŞLEMLER'!$D$4="BİREYSEL",'KATKI PAYI'!U12&lt;&gt;0),AND('KATKILI İŞLEMLER'!$D$4="TİCARİ",'KATKI PAYI'!V12&lt;&gt;0)),'KATKI PAYI'!B12,"")</f>
        <v>0</v>
      </c>
      <c r="Z12" s="1" t="str">
        <f>+IF(COUNTIF(Y$2:Y41,Y12)=1,Y12,"")</f>
        <v/>
      </c>
      <c r="AA12" s="1" t="str">
        <f t="array" ref="AA12">+IFERROR(INDEX(Z:Z,SMALL(IF(Z$2:Z$96&lt;&gt;"",ROW(Z$2:Z$96)),ROW(11:11))),"")</f>
        <v/>
      </c>
      <c r="AB12" s="1" t="e">
        <f t="shared" si="12"/>
        <v>#N/A</v>
      </c>
    </row>
    <row r="13" spans="1:28" ht="15" customHeight="1" x14ac:dyDescent="0.25">
      <c r="A13" s="123" t="s">
        <v>73</v>
      </c>
      <c r="B13" s="123"/>
      <c r="C13" s="123"/>
      <c r="D13" s="123"/>
      <c r="E13" s="123"/>
      <c r="F13" s="123"/>
      <c r="G13" s="123"/>
      <c r="H13" s="103" t="str">
        <f t="shared" si="0"/>
        <v xml:space="preserve"> </v>
      </c>
      <c r="I13" s="103" t="str">
        <f t="shared" si="1"/>
        <v xml:space="preserve"> </v>
      </c>
      <c r="J13" s="112" t="str">
        <f t="shared" si="2"/>
        <v xml:space="preserve"> </v>
      </c>
      <c r="K13" s="112">
        <v>3.2899999999999999E-2</v>
      </c>
      <c r="L13" s="112">
        <v>3.56E-2</v>
      </c>
      <c r="M13" s="113" t="str">
        <f t="shared" si="7"/>
        <v xml:space="preserve"> </v>
      </c>
      <c r="N13" s="113" t="str">
        <f t="shared" si="8"/>
        <v xml:space="preserve"> </v>
      </c>
      <c r="O13" s="113" t="str">
        <f t="shared" si="9"/>
        <v xml:space="preserve"> </v>
      </c>
      <c r="P13" s="113" t="str">
        <f t="shared" si="10"/>
        <v xml:space="preserve"> </v>
      </c>
      <c r="Q13" s="113" t="str">
        <f t="shared" si="3"/>
        <v xml:space="preserve"> </v>
      </c>
      <c r="R13" s="103" t="str">
        <f>+IF(AND($X13='KATKILI İŞLEMLER'!$F$4,'KATKILI İŞLEMLER'!$D$4="BİREYSEL",U13&gt;0),IF(COUNTIF($R$1:R12,$C13)=0,$C13,""),IF(AND($X13='KATKILI İŞLEMLER'!$F$4,'KATKILI İŞLEMLER'!$D$4="TİCARİ"),IF(COUNTIF($R$1:R12,$C13)=0,$C13,""),""))</f>
        <v/>
      </c>
      <c r="S13" s="103"/>
      <c r="T13" s="104" t="str">
        <f t="shared" si="4"/>
        <v>MG</v>
      </c>
      <c r="U13" s="109">
        <f t="shared" si="5"/>
        <v>0</v>
      </c>
      <c r="V13" s="109" t="str">
        <f t="shared" si="11"/>
        <v>0</v>
      </c>
      <c r="W13" s="103" t="s">
        <v>68</v>
      </c>
      <c r="X13" s="103" t="str">
        <f t="shared" si="6"/>
        <v>MG</v>
      </c>
      <c r="Y13" s="1">
        <f>+IF(OR(AND('KATKILI İŞLEMLER'!$D$4="BİREYSEL",'KATKI PAYI'!U13&lt;&gt;0),AND('KATKILI İŞLEMLER'!$D$4="TİCARİ",'KATKI PAYI'!V13&lt;&gt;0)),'KATKI PAYI'!B13,"")</f>
        <v>0</v>
      </c>
      <c r="Z13" s="1" t="str">
        <f>+IF(COUNTIF(Y$2:Y42,Y13)=1,Y13,"")</f>
        <v/>
      </c>
      <c r="AA13" s="1" t="str">
        <f t="array" ref="AA13">+IFERROR(INDEX(Z:Z,SMALL(IF(Z$2:Z$96&lt;&gt;"",ROW(Z$2:Z$96)),ROW(12:12))),"")</f>
        <v/>
      </c>
      <c r="AB13" s="1" t="e">
        <f t="shared" si="12"/>
        <v>#N/A</v>
      </c>
    </row>
    <row r="14" spans="1:28" ht="15" customHeight="1" x14ac:dyDescent="0.25">
      <c r="A14" s="123" t="s">
        <v>73</v>
      </c>
      <c r="B14" s="123"/>
      <c r="C14" s="123"/>
      <c r="D14" s="123"/>
      <c r="E14" s="123"/>
      <c r="F14" s="123"/>
      <c r="G14" s="123"/>
      <c r="H14" s="103" t="str">
        <f t="shared" si="0"/>
        <v xml:space="preserve"> </v>
      </c>
      <c r="I14" s="103" t="str">
        <f t="shared" si="1"/>
        <v xml:space="preserve"> </v>
      </c>
      <c r="J14" s="112" t="str">
        <f t="shared" si="2"/>
        <v xml:space="preserve"> </v>
      </c>
      <c r="K14" s="112">
        <v>3.2899999999999999E-2</v>
      </c>
      <c r="L14" s="112">
        <v>3.56E-2</v>
      </c>
      <c r="M14" s="113" t="str">
        <f t="shared" si="7"/>
        <v xml:space="preserve"> </v>
      </c>
      <c r="N14" s="113" t="str">
        <f t="shared" si="8"/>
        <v xml:space="preserve"> </v>
      </c>
      <c r="O14" s="113" t="str">
        <f t="shared" si="9"/>
        <v xml:space="preserve"> </v>
      </c>
      <c r="P14" s="113" t="str">
        <f t="shared" si="10"/>
        <v xml:space="preserve"> </v>
      </c>
      <c r="Q14" s="113" t="str">
        <f t="shared" si="3"/>
        <v xml:space="preserve"> </v>
      </c>
      <c r="R14" s="103" t="str">
        <f>+IF(AND($X14='KATKILI İŞLEMLER'!$F$4,'KATKILI İŞLEMLER'!$D$4="BİREYSEL",U14&gt;0),IF(COUNTIF($R$1:R13,$C14)=0,$C14,""),IF(AND($X14='KATKILI İŞLEMLER'!$F$4,'KATKILI İŞLEMLER'!$D$4="TİCARİ"),IF(COUNTIF($R$1:R13,$C14)=0,$C14,""),""))</f>
        <v/>
      </c>
      <c r="S14" s="103"/>
      <c r="T14" s="104" t="str">
        <f t="shared" si="4"/>
        <v>MG</v>
      </c>
      <c r="U14" s="109">
        <f t="shared" si="5"/>
        <v>0</v>
      </c>
      <c r="V14" s="109" t="str">
        <f t="shared" si="11"/>
        <v>0</v>
      </c>
      <c r="W14" s="103" t="s">
        <v>68</v>
      </c>
      <c r="X14" s="103" t="str">
        <f t="shared" si="6"/>
        <v>MG</v>
      </c>
      <c r="Y14" s="1">
        <f>+IF(OR(AND('KATKILI İŞLEMLER'!$D$4="BİREYSEL",'KATKI PAYI'!U14&lt;&gt;0),AND('KATKILI İŞLEMLER'!$D$4="TİCARİ",'KATKI PAYI'!V14&lt;&gt;0)),'KATKI PAYI'!B14,"")</f>
        <v>0</v>
      </c>
      <c r="Z14" s="1" t="str">
        <f>+IF(COUNTIF(Y$2:Y43,Y14)=1,Y14,"")</f>
        <v/>
      </c>
      <c r="AA14" s="1" t="str">
        <f t="array" ref="AA14">+IFERROR(INDEX(Z:Z,SMALL(IF(Z$2:Z$96&lt;&gt;"",ROW(Z$2:Z$96)),ROW(13:13))),"")</f>
        <v/>
      </c>
      <c r="AB14" s="1" t="e">
        <f t="shared" si="12"/>
        <v>#N/A</v>
      </c>
    </row>
    <row r="15" spans="1:28" ht="15" customHeight="1" x14ac:dyDescent="0.25">
      <c r="A15" s="123" t="s">
        <v>73</v>
      </c>
      <c r="B15" s="123"/>
      <c r="C15" s="123"/>
      <c r="D15" s="123"/>
      <c r="E15" s="123"/>
      <c r="F15" s="123"/>
      <c r="G15" s="123"/>
      <c r="H15" s="103" t="str">
        <f t="shared" si="0"/>
        <v xml:space="preserve"> </v>
      </c>
      <c r="I15" s="103" t="str">
        <f t="shared" si="1"/>
        <v xml:space="preserve"> </v>
      </c>
      <c r="J15" s="112" t="str">
        <f t="shared" si="2"/>
        <v xml:space="preserve"> </v>
      </c>
      <c r="K15" s="112">
        <v>3.2899999999999999E-2</v>
      </c>
      <c r="L15" s="112">
        <v>3.56E-2</v>
      </c>
      <c r="M15" s="113" t="str">
        <f t="shared" si="7"/>
        <v xml:space="preserve"> </v>
      </c>
      <c r="N15" s="113" t="str">
        <f t="shared" si="8"/>
        <v xml:space="preserve"> </v>
      </c>
      <c r="O15" s="113" t="str">
        <f t="shared" si="9"/>
        <v xml:space="preserve"> </v>
      </c>
      <c r="P15" s="113" t="str">
        <f t="shared" si="10"/>
        <v xml:space="preserve"> </v>
      </c>
      <c r="Q15" s="113" t="str">
        <f t="shared" si="3"/>
        <v xml:space="preserve"> </v>
      </c>
      <c r="R15" s="103" t="str">
        <f>+IF(AND($X15='KATKILI İŞLEMLER'!$F$4,'KATKILI İŞLEMLER'!$D$4="BİREYSEL",U15&gt;0),IF(COUNTIF($R$1:R14,$C15)=0,$C15,""),IF(AND($X15='KATKILI İŞLEMLER'!$F$4,'KATKILI İŞLEMLER'!$D$4="TİCARİ"),IF(COUNTIF($R$1:R14,$C15)=0,$C15,""),""))</f>
        <v/>
      </c>
      <c r="S15" s="103"/>
      <c r="T15" s="104" t="str">
        <f t="shared" si="4"/>
        <v>MG</v>
      </c>
      <c r="U15" s="109">
        <f t="shared" si="5"/>
        <v>0</v>
      </c>
      <c r="V15" s="109" t="str">
        <f t="shared" si="11"/>
        <v>0</v>
      </c>
      <c r="W15" s="103" t="s">
        <v>68</v>
      </c>
      <c r="X15" s="103" t="str">
        <f t="shared" si="6"/>
        <v>MG</v>
      </c>
      <c r="Y15" s="1">
        <f>+IF(OR(AND('KATKILI İŞLEMLER'!$D$4="BİREYSEL",'KATKI PAYI'!U15&lt;&gt;0),AND('KATKILI İŞLEMLER'!$D$4="TİCARİ",'KATKI PAYI'!V15&lt;&gt;0)),'KATKI PAYI'!B15,"")</f>
        <v>0</v>
      </c>
      <c r="Z15" s="1" t="str">
        <f>+IF(COUNTIF(Y$2:Y44,Y15)=1,Y15,"")</f>
        <v/>
      </c>
      <c r="AA15" s="1" t="str">
        <f t="array" ref="AA15">+IFERROR(INDEX(Z:Z,SMALL(IF(Z$2:Z$96&lt;&gt;"",ROW(Z$2:Z$96)),ROW(14:14))),"")</f>
        <v/>
      </c>
      <c r="AB15" s="1" t="e">
        <f t="shared" si="12"/>
        <v>#N/A</v>
      </c>
    </row>
    <row r="16" spans="1:28" ht="15" customHeight="1" x14ac:dyDescent="0.25">
      <c r="A16" s="123" t="s">
        <v>73</v>
      </c>
      <c r="B16" s="123"/>
      <c r="C16" s="123"/>
      <c r="D16" s="123"/>
      <c r="E16" s="123"/>
      <c r="F16" s="123"/>
      <c r="G16" s="123"/>
      <c r="H16" s="103" t="str">
        <f t="shared" si="0"/>
        <v xml:space="preserve"> </v>
      </c>
      <c r="I16" s="103" t="str">
        <f t="shared" si="1"/>
        <v xml:space="preserve"> </v>
      </c>
      <c r="J16" s="112" t="str">
        <f t="shared" si="2"/>
        <v xml:space="preserve"> </v>
      </c>
      <c r="K16" s="112">
        <v>3.2899999999999999E-2</v>
      </c>
      <c r="L16" s="112">
        <v>3.56E-2</v>
      </c>
      <c r="M16" s="113" t="str">
        <f t="shared" si="7"/>
        <v xml:space="preserve"> </v>
      </c>
      <c r="N16" s="113" t="str">
        <f t="shared" si="8"/>
        <v xml:space="preserve"> </v>
      </c>
      <c r="O16" s="113" t="str">
        <f t="shared" si="9"/>
        <v xml:space="preserve"> </v>
      </c>
      <c r="P16" s="113" t="str">
        <f t="shared" si="10"/>
        <v xml:space="preserve"> </v>
      </c>
      <c r="Q16" s="113" t="str">
        <f t="shared" si="3"/>
        <v xml:space="preserve"> </v>
      </c>
      <c r="R16" s="103" t="str">
        <f>+IF(AND($X16='KATKILI İŞLEMLER'!$F$4,'KATKILI İŞLEMLER'!$D$4="BİREYSEL",U16&gt;0),IF(COUNTIF($R$1:R15,$C16)=0,$C16,""),IF(AND($X16='KATKILI İŞLEMLER'!$F$4,'KATKILI İŞLEMLER'!$D$4="TİCARİ"),IF(COUNTIF($R$1:R15,$C16)=0,$C16,""),""))</f>
        <v/>
      </c>
      <c r="S16" s="103"/>
      <c r="T16" s="104" t="str">
        <f t="shared" si="4"/>
        <v>MG</v>
      </c>
      <c r="U16" s="109">
        <f t="shared" si="5"/>
        <v>0</v>
      </c>
      <c r="V16" s="109" t="str">
        <f t="shared" si="11"/>
        <v>0</v>
      </c>
      <c r="W16" s="103" t="s">
        <v>68</v>
      </c>
      <c r="X16" s="103" t="str">
        <f t="shared" si="6"/>
        <v>MG</v>
      </c>
      <c r="Y16" s="1">
        <f>+IF(OR(AND('KATKILI İŞLEMLER'!$D$4="BİREYSEL",'KATKI PAYI'!U16&lt;&gt;0),AND('KATKILI İŞLEMLER'!$D$4="TİCARİ",'KATKI PAYI'!V16&lt;&gt;0)),'KATKI PAYI'!B16,"")</f>
        <v>0</v>
      </c>
      <c r="Z16" s="1" t="str">
        <f>+IF(COUNTIF(Y$2:Y45,Y16)=1,Y16,"")</f>
        <v/>
      </c>
      <c r="AA16" s="1" t="str">
        <f t="array" ref="AA16">+IFERROR(INDEX(Z:Z,SMALL(IF(Z$2:Z$96&lt;&gt;"",ROW(Z$2:Z$96)),ROW(15:15))),"")</f>
        <v/>
      </c>
      <c r="AB16" s="1" t="e">
        <f t="shared" si="12"/>
        <v>#N/A</v>
      </c>
    </row>
    <row r="17" spans="1:28" ht="15" customHeight="1" x14ac:dyDescent="0.25">
      <c r="A17" s="123" t="s">
        <v>73</v>
      </c>
      <c r="B17" s="123"/>
      <c r="C17" s="123"/>
      <c r="D17" s="123"/>
      <c r="E17" s="123"/>
      <c r="F17" s="123"/>
      <c r="G17" s="123"/>
      <c r="H17" s="103" t="str">
        <f t="shared" si="0"/>
        <v xml:space="preserve"> </v>
      </c>
      <c r="I17" s="103" t="str">
        <f t="shared" si="1"/>
        <v xml:space="preserve"> </v>
      </c>
      <c r="J17" s="112" t="str">
        <f t="shared" si="2"/>
        <v xml:space="preserve"> </v>
      </c>
      <c r="K17" s="112">
        <v>3.2899999999999999E-2</v>
      </c>
      <c r="L17" s="112">
        <v>3.56E-2</v>
      </c>
      <c r="M17" s="113" t="str">
        <f t="shared" si="7"/>
        <v xml:space="preserve"> </v>
      </c>
      <c r="N17" s="113" t="str">
        <f t="shared" si="8"/>
        <v xml:space="preserve"> </v>
      </c>
      <c r="O17" s="113" t="str">
        <f t="shared" si="9"/>
        <v xml:space="preserve"> </v>
      </c>
      <c r="P17" s="113" t="str">
        <f t="shared" si="10"/>
        <v xml:space="preserve"> </v>
      </c>
      <c r="Q17" s="113" t="str">
        <f t="shared" si="3"/>
        <v xml:space="preserve"> </v>
      </c>
      <c r="R17" s="103" t="str">
        <f>+IF(AND($X17='KATKILI İŞLEMLER'!$F$4,'KATKILI İŞLEMLER'!$D$4="BİREYSEL",U17&gt;0),IF(COUNTIF($R$1:R16,$C17)=0,$C17,""),IF(AND($X17='KATKILI İŞLEMLER'!$F$4,'KATKILI İŞLEMLER'!$D$4="TİCARİ"),IF(COUNTIF($R$1:R16,$C17)=0,$C17,""),""))</f>
        <v/>
      </c>
      <c r="S17" s="103"/>
      <c r="T17" s="104" t="str">
        <f t="shared" si="4"/>
        <v>MG</v>
      </c>
      <c r="U17" s="109">
        <f t="shared" si="5"/>
        <v>0</v>
      </c>
      <c r="V17" s="109" t="str">
        <f t="shared" si="11"/>
        <v>0</v>
      </c>
      <c r="W17" s="103" t="s">
        <v>68</v>
      </c>
      <c r="X17" s="103" t="str">
        <f t="shared" si="6"/>
        <v>MG</v>
      </c>
      <c r="Y17" s="1">
        <f>+IF(OR(AND('KATKILI İŞLEMLER'!$D$4="BİREYSEL",'KATKI PAYI'!U17&lt;&gt;0),AND('KATKILI İŞLEMLER'!$D$4="TİCARİ",'KATKI PAYI'!V17&lt;&gt;0)),'KATKI PAYI'!B17,"")</f>
        <v>0</v>
      </c>
      <c r="Z17" s="1" t="str">
        <f>+IF(COUNTIF(Y$2:Y46,Y17)=1,Y17,"")</f>
        <v/>
      </c>
      <c r="AA17" s="1" t="str">
        <f t="array" ref="AA17">+IFERROR(INDEX(Z:Z,SMALL(IF(Z$2:Z$96&lt;&gt;"",ROW(Z$2:Z$96)),ROW(16:16))),"")</f>
        <v/>
      </c>
      <c r="AB17" s="1" t="e">
        <f t="shared" si="12"/>
        <v>#N/A</v>
      </c>
    </row>
    <row r="18" spans="1:28" ht="15" customHeight="1" x14ac:dyDescent="0.25">
      <c r="A18" s="123" t="s">
        <v>73</v>
      </c>
      <c r="B18" s="123"/>
      <c r="C18" s="123"/>
      <c r="D18" s="123"/>
      <c r="E18" s="123"/>
      <c r="F18" s="123"/>
      <c r="G18" s="123"/>
      <c r="H18" s="103" t="str">
        <f t="shared" si="0"/>
        <v xml:space="preserve"> </v>
      </c>
      <c r="I18" s="103" t="str">
        <f t="shared" si="1"/>
        <v xml:space="preserve"> </v>
      </c>
      <c r="J18" s="112" t="str">
        <f t="shared" si="2"/>
        <v xml:space="preserve"> </v>
      </c>
      <c r="K18" s="112">
        <v>3.2899999999999999E-2</v>
      </c>
      <c r="L18" s="112">
        <v>3.56E-2</v>
      </c>
      <c r="M18" s="113" t="str">
        <f t="shared" si="7"/>
        <v xml:space="preserve"> </v>
      </c>
      <c r="N18" s="113" t="str">
        <f t="shared" si="8"/>
        <v xml:space="preserve"> </v>
      </c>
      <c r="O18" s="113" t="str">
        <f t="shared" si="9"/>
        <v xml:space="preserve"> </v>
      </c>
      <c r="P18" s="113" t="str">
        <f t="shared" si="10"/>
        <v xml:space="preserve"> </v>
      </c>
      <c r="Q18" s="113" t="str">
        <f t="shared" si="3"/>
        <v xml:space="preserve"> </v>
      </c>
      <c r="R18" s="103" t="str">
        <f>+IF(AND($X18='KATKILI İŞLEMLER'!$F$4,'KATKILI İŞLEMLER'!$D$4="BİREYSEL",U18&gt;0),IF(COUNTIF($R$1:R17,$C18)=0,$C18,""),IF(AND($X18='KATKILI İŞLEMLER'!$F$4,'KATKILI İŞLEMLER'!$D$4="TİCARİ"),IF(COUNTIF($R$1:R17,$C18)=0,$C18,""),""))</f>
        <v/>
      </c>
      <c r="S18" s="103"/>
      <c r="T18" s="104" t="str">
        <f t="shared" si="4"/>
        <v>MG</v>
      </c>
      <c r="U18" s="109">
        <f t="shared" si="5"/>
        <v>0</v>
      </c>
      <c r="V18" s="109" t="str">
        <f t="shared" si="11"/>
        <v>0</v>
      </c>
      <c r="W18" s="103" t="s">
        <v>68</v>
      </c>
      <c r="X18" s="103" t="str">
        <f t="shared" si="6"/>
        <v>MG</v>
      </c>
      <c r="Y18" s="1">
        <f>+IF(OR(AND('KATKILI İŞLEMLER'!$D$4="BİREYSEL",'KATKI PAYI'!U18&lt;&gt;0),AND('KATKILI İŞLEMLER'!$D$4="TİCARİ",'KATKI PAYI'!V18&lt;&gt;0)),'KATKI PAYI'!B18,"")</f>
        <v>0</v>
      </c>
      <c r="Z18" s="1" t="str">
        <f>+IF(COUNTIF(Y$2:Y47,Y18)=1,Y18,"")</f>
        <v/>
      </c>
      <c r="AA18" s="1" t="str">
        <f t="array" ref="AA18">+IFERROR(INDEX(Z:Z,SMALL(IF(Z$2:Z$96&lt;&gt;"",ROW(Z$2:Z$96)),ROW(17:17))),"")</f>
        <v/>
      </c>
      <c r="AB18" s="1" t="e">
        <f t="shared" si="12"/>
        <v>#N/A</v>
      </c>
    </row>
    <row r="19" spans="1:28" ht="15" customHeight="1" x14ac:dyDescent="0.25">
      <c r="A19" s="123" t="s">
        <v>73</v>
      </c>
      <c r="B19" s="123"/>
      <c r="C19" s="123"/>
      <c r="D19" s="123"/>
      <c r="E19" s="123"/>
      <c r="F19" s="123"/>
      <c r="G19" s="123"/>
      <c r="H19" s="103" t="str">
        <f t="shared" si="0"/>
        <v xml:space="preserve"> </v>
      </c>
      <c r="I19" s="103" t="str">
        <f t="shared" si="1"/>
        <v xml:space="preserve"> </v>
      </c>
      <c r="J19" s="112" t="str">
        <f t="shared" si="2"/>
        <v xml:space="preserve"> </v>
      </c>
      <c r="K19" s="112">
        <v>3.2899999999999999E-2</v>
      </c>
      <c r="L19" s="112">
        <v>3.56E-2</v>
      </c>
      <c r="M19" s="113" t="str">
        <f t="shared" si="7"/>
        <v xml:space="preserve"> </v>
      </c>
      <c r="N19" s="113" t="str">
        <f t="shared" si="8"/>
        <v xml:space="preserve"> </v>
      </c>
      <c r="O19" s="113" t="str">
        <f t="shared" si="9"/>
        <v xml:space="preserve"> </v>
      </c>
      <c r="P19" s="113" t="str">
        <f t="shared" si="10"/>
        <v xml:space="preserve"> </v>
      </c>
      <c r="Q19" s="113" t="str">
        <f t="shared" si="3"/>
        <v xml:space="preserve"> </v>
      </c>
      <c r="R19" s="103" t="str">
        <f>+IF(AND($X19='KATKILI İŞLEMLER'!$F$4,'KATKILI İŞLEMLER'!$D$4="BİREYSEL",U19&gt;0),IF(COUNTIF($R$1:R18,$C19)=0,$C19,""),IF(AND($X19='KATKILI İŞLEMLER'!$F$4,'KATKILI İŞLEMLER'!$D$4="TİCARİ"),IF(COUNTIF($R$1:R18,$C19)=0,$C19,""),""))</f>
        <v/>
      </c>
      <c r="S19" s="103"/>
      <c r="T19" s="104" t="str">
        <f t="shared" si="4"/>
        <v>MG</v>
      </c>
      <c r="U19" s="109">
        <f t="shared" si="5"/>
        <v>0</v>
      </c>
      <c r="V19" s="109" t="str">
        <f t="shared" si="11"/>
        <v>0</v>
      </c>
      <c r="W19" s="103" t="s">
        <v>68</v>
      </c>
      <c r="X19" s="103" t="str">
        <f t="shared" si="6"/>
        <v>MG</v>
      </c>
      <c r="Y19" s="1">
        <f>+IF(OR(AND('KATKILI İŞLEMLER'!$D$4="BİREYSEL",'KATKI PAYI'!U19&lt;&gt;0),AND('KATKILI İŞLEMLER'!$D$4="TİCARİ",'KATKI PAYI'!V19&lt;&gt;0)),'KATKI PAYI'!B19,"")</f>
        <v>0</v>
      </c>
      <c r="Z19" s="1" t="str">
        <f>+IF(COUNTIF(Y$2:Y48,Y19)=1,Y19,"")</f>
        <v/>
      </c>
      <c r="AA19" s="1" t="str">
        <f t="array" ref="AA19">+IFERROR(INDEX(Z:Z,SMALL(IF(Z$2:Z$96&lt;&gt;"",ROW(Z$2:Z$96)),ROW(18:18))),"")</f>
        <v/>
      </c>
      <c r="AB19" s="1" t="e">
        <f t="shared" si="12"/>
        <v>#N/A</v>
      </c>
    </row>
    <row r="20" spans="1:28" ht="15" customHeight="1" x14ac:dyDescent="0.25">
      <c r="A20" s="123" t="s">
        <v>73</v>
      </c>
      <c r="B20" s="123"/>
      <c r="C20" s="123"/>
      <c r="D20" s="123"/>
      <c r="E20" s="123"/>
      <c r="F20" s="123"/>
      <c r="G20" s="123"/>
      <c r="H20" s="103" t="str">
        <f t="shared" si="0"/>
        <v xml:space="preserve"> </v>
      </c>
      <c r="I20" s="103" t="str">
        <f t="shared" si="1"/>
        <v xml:space="preserve"> </v>
      </c>
      <c r="J20" s="112" t="str">
        <f t="shared" si="2"/>
        <v xml:space="preserve"> </v>
      </c>
      <c r="K20" s="112">
        <v>3.2899999999999999E-2</v>
      </c>
      <c r="L20" s="112">
        <v>3.56E-2</v>
      </c>
      <c r="M20" s="113" t="str">
        <f t="shared" si="7"/>
        <v xml:space="preserve"> </v>
      </c>
      <c r="N20" s="113" t="str">
        <f t="shared" si="8"/>
        <v xml:space="preserve"> </v>
      </c>
      <c r="O20" s="113" t="str">
        <f t="shared" si="9"/>
        <v xml:space="preserve"> </v>
      </c>
      <c r="P20" s="113" t="str">
        <f t="shared" si="10"/>
        <v xml:space="preserve"> </v>
      </c>
      <c r="Q20" s="113" t="str">
        <f t="shared" si="3"/>
        <v xml:space="preserve"> </v>
      </c>
      <c r="R20" s="103" t="str">
        <f>+IF(AND($X20='KATKILI İŞLEMLER'!$F$4,'KATKILI İŞLEMLER'!$D$4="BİREYSEL",U20&gt;0),IF(COUNTIF($R$1:R19,$C20)=0,$C20,""),IF(AND($X20='KATKILI İŞLEMLER'!$F$4,'KATKILI İŞLEMLER'!$D$4="TİCARİ"),IF(COUNTIF($R$1:R19,$C20)=0,$C20,""),""))</f>
        <v/>
      </c>
      <c r="S20" s="103"/>
      <c r="T20" s="104" t="str">
        <f t="shared" si="4"/>
        <v>MG</v>
      </c>
      <c r="U20" s="109">
        <f t="shared" si="5"/>
        <v>0</v>
      </c>
      <c r="V20" s="109" t="str">
        <f t="shared" si="11"/>
        <v>0</v>
      </c>
      <c r="W20" s="103" t="s">
        <v>68</v>
      </c>
      <c r="X20" s="103" t="str">
        <f t="shared" si="6"/>
        <v>MG</v>
      </c>
      <c r="Y20" s="1">
        <f>+IF(OR(AND('KATKILI İŞLEMLER'!$D$4="BİREYSEL",'KATKI PAYI'!U20&lt;&gt;0),AND('KATKILI İŞLEMLER'!$D$4="TİCARİ",'KATKI PAYI'!V20&lt;&gt;0)),'KATKI PAYI'!B20,"")</f>
        <v>0</v>
      </c>
      <c r="Z20" s="1" t="str">
        <f>+IF(COUNTIF(Y$2:Y49,Y20)=1,Y20,"")</f>
        <v/>
      </c>
      <c r="AA20" s="1" t="str">
        <f t="array" ref="AA20">+IFERROR(INDEX(Z:Z,SMALL(IF(Z$2:Z$96&lt;&gt;"",ROW(Z$2:Z$96)),ROW(19:19))),"")</f>
        <v/>
      </c>
      <c r="AB20" s="1" t="e">
        <f t="shared" si="12"/>
        <v>#N/A</v>
      </c>
    </row>
    <row r="21" spans="1:28" ht="15" customHeight="1" x14ac:dyDescent="0.25">
      <c r="A21" s="123" t="s">
        <v>73</v>
      </c>
      <c r="B21" s="123"/>
      <c r="C21" s="123"/>
      <c r="D21" s="123"/>
      <c r="E21" s="123"/>
      <c r="F21" s="123"/>
      <c r="G21" s="123"/>
      <c r="H21" s="103" t="str">
        <f t="shared" si="0"/>
        <v xml:space="preserve"> </v>
      </c>
      <c r="I21" s="103" t="str">
        <f t="shared" si="1"/>
        <v xml:space="preserve"> </v>
      </c>
      <c r="J21" s="112" t="str">
        <f t="shared" si="2"/>
        <v xml:space="preserve"> </v>
      </c>
      <c r="K21" s="112">
        <v>3.2899999999999999E-2</v>
      </c>
      <c r="L21" s="112">
        <v>3.56E-2</v>
      </c>
      <c r="M21" s="113" t="str">
        <f t="shared" si="7"/>
        <v xml:space="preserve"> </v>
      </c>
      <c r="N21" s="113" t="str">
        <f t="shared" si="8"/>
        <v xml:space="preserve"> </v>
      </c>
      <c r="O21" s="113" t="str">
        <f t="shared" si="9"/>
        <v xml:space="preserve"> </v>
      </c>
      <c r="P21" s="113" t="str">
        <f t="shared" si="10"/>
        <v xml:space="preserve"> </v>
      </c>
      <c r="Q21" s="113" t="str">
        <f t="shared" si="3"/>
        <v xml:space="preserve"> </v>
      </c>
      <c r="R21" s="103" t="str">
        <f>+IF(AND($X21='KATKILI İŞLEMLER'!$F$4,'KATKILI İŞLEMLER'!$D$4="BİREYSEL",U21&gt;0),IF(COUNTIF($R$1:R20,$C21)=0,$C21,""),IF(AND($X21='KATKILI İŞLEMLER'!$F$4,'KATKILI İŞLEMLER'!$D$4="TİCARİ"),IF(COUNTIF($R$1:R20,$C21)=0,$C21,""),""))</f>
        <v/>
      </c>
      <c r="S21" s="103"/>
      <c r="T21" s="104" t="str">
        <f t="shared" si="4"/>
        <v>MG</v>
      </c>
      <c r="U21" s="109">
        <f t="shared" si="5"/>
        <v>0</v>
      </c>
      <c r="V21" s="109" t="str">
        <f t="shared" si="11"/>
        <v>0</v>
      </c>
      <c r="W21" s="103" t="s">
        <v>68</v>
      </c>
      <c r="X21" s="103" t="str">
        <f t="shared" si="6"/>
        <v>MG</v>
      </c>
      <c r="Y21" s="1">
        <f>+IF(OR(AND('KATKILI İŞLEMLER'!$D$4="BİREYSEL",'KATKI PAYI'!U21&lt;&gt;0),AND('KATKILI İŞLEMLER'!$D$4="TİCARİ",'KATKI PAYI'!V21&lt;&gt;0)),'KATKI PAYI'!B21,"")</f>
        <v>0</v>
      </c>
      <c r="Z21" s="1" t="str">
        <f>+IF(COUNTIF(Y$2:Y50,Y21)=1,Y21,"")</f>
        <v/>
      </c>
      <c r="AA21" s="1" t="str">
        <f t="array" ref="AA21">+IFERROR(INDEX(Z:Z,SMALL(IF(Z$2:Z$96&lt;&gt;"",ROW(Z$2:Z$96)),ROW(20:20))),"")</f>
        <v/>
      </c>
      <c r="AB21" s="1" t="e">
        <f t="shared" si="12"/>
        <v>#N/A</v>
      </c>
    </row>
    <row r="22" spans="1:28" ht="15" customHeight="1" x14ac:dyDescent="0.25">
      <c r="A22" s="123" t="s">
        <v>73</v>
      </c>
      <c r="B22" s="123"/>
      <c r="C22" s="123"/>
      <c r="D22" s="123"/>
      <c r="E22" s="123"/>
      <c r="F22" s="123"/>
      <c r="G22" s="123"/>
      <c r="H22" s="103" t="str">
        <f t="shared" si="0"/>
        <v xml:space="preserve"> </v>
      </c>
      <c r="I22" s="103" t="str">
        <f t="shared" si="1"/>
        <v xml:space="preserve"> </v>
      </c>
      <c r="J22" s="112" t="str">
        <f t="shared" si="2"/>
        <v xml:space="preserve"> </v>
      </c>
      <c r="K22" s="112">
        <v>3.2899999999999999E-2</v>
      </c>
      <c r="L22" s="112">
        <v>3.56E-2</v>
      </c>
      <c r="M22" s="113" t="str">
        <f t="shared" si="7"/>
        <v xml:space="preserve"> </v>
      </c>
      <c r="N22" s="113" t="str">
        <f t="shared" si="8"/>
        <v xml:space="preserve"> </v>
      </c>
      <c r="O22" s="113" t="str">
        <f t="shared" si="9"/>
        <v xml:space="preserve"> </v>
      </c>
      <c r="P22" s="113" t="str">
        <f t="shared" si="10"/>
        <v xml:space="preserve"> </v>
      </c>
      <c r="Q22" s="113" t="str">
        <f t="shared" si="3"/>
        <v xml:space="preserve"> </v>
      </c>
      <c r="R22" s="103" t="str">
        <f>+IF(AND($X22='KATKILI İŞLEMLER'!$F$4,'KATKILI İŞLEMLER'!$D$4="BİREYSEL",U22&gt;0),IF(COUNTIF($R$1:R21,$C22)=0,$C22,""),IF(AND($X22='KATKILI İŞLEMLER'!$F$4,'KATKILI İŞLEMLER'!$D$4="TİCARİ"),IF(COUNTIF($R$1:R21,$C22)=0,$C22,""),""))</f>
        <v/>
      </c>
      <c r="S22" s="103"/>
      <c r="T22" s="104" t="str">
        <f t="shared" si="4"/>
        <v>MG</v>
      </c>
      <c r="U22" s="109">
        <f t="shared" si="5"/>
        <v>0</v>
      </c>
      <c r="V22" s="109" t="str">
        <f t="shared" si="11"/>
        <v>0</v>
      </c>
      <c r="W22" s="103" t="s">
        <v>68</v>
      </c>
      <c r="X22" s="103" t="str">
        <f t="shared" si="6"/>
        <v>MG</v>
      </c>
      <c r="Y22" s="1">
        <f>+IF(OR(AND('KATKILI İŞLEMLER'!$D$4="BİREYSEL",'KATKI PAYI'!U22&lt;&gt;0),AND('KATKILI İŞLEMLER'!$D$4="TİCARİ",'KATKI PAYI'!V22&lt;&gt;0)),'KATKI PAYI'!B22,"")</f>
        <v>0</v>
      </c>
      <c r="Z22" s="1" t="str">
        <f>+IF(COUNTIF(Y$2:Y51,Y22)=1,Y22,"")</f>
        <v/>
      </c>
      <c r="AA22" s="1" t="str">
        <f t="array" ref="AA22">+IFERROR(INDEX(Z:Z,SMALL(IF(Z$2:Z$96&lt;&gt;"",ROW(Z$2:Z$96)),ROW(21:21))),"")</f>
        <v/>
      </c>
      <c r="AB22" s="1" t="e">
        <f t="shared" si="12"/>
        <v>#N/A</v>
      </c>
    </row>
    <row r="23" spans="1:28" ht="15" customHeight="1" x14ac:dyDescent="0.25">
      <c r="A23" s="123" t="s">
        <v>73</v>
      </c>
      <c r="B23" s="123"/>
      <c r="C23" s="123"/>
      <c r="D23" s="123"/>
      <c r="E23" s="123"/>
      <c r="F23" s="123"/>
      <c r="G23" s="123"/>
      <c r="H23" s="103" t="str">
        <f t="shared" si="0"/>
        <v xml:space="preserve"> </v>
      </c>
      <c r="I23" s="103" t="str">
        <f t="shared" si="1"/>
        <v xml:space="preserve"> </v>
      </c>
      <c r="J23" s="112" t="str">
        <f t="shared" si="2"/>
        <v xml:space="preserve"> </v>
      </c>
      <c r="K23" s="112">
        <v>3.2899999999999999E-2</v>
      </c>
      <c r="L23" s="112">
        <v>3.56E-2</v>
      </c>
      <c r="M23" s="113" t="str">
        <f t="shared" si="7"/>
        <v xml:space="preserve"> </v>
      </c>
      <c r="N23" s="113" t="str">
        <f t="shared" si="8"/>
        <v xml:space="preserve"> </v>
      </c>
      <c r="O23" s="113" t="str">
        <f t="shared" si="9"/>
        <v xml:space="preserve"> </v>
      </c>
      <c r="P23" s="113" t="str">
        <f t="shared" si="10"/>
        <v xml:space="preserve"> </v>
      </c>
      <c r="Q23" s="113" t="str">
        <f t="shared" si="3"/>
        <v xml:space="preserve"> </v>
      </c>
      <c r="R23" s="103" t="str">
        <f>+IF(AND($X23='KATKILI İŞLEMLER'!$F$4,'KATKILI İŞLEMLER'!$D$4="BİREYSEL",U23&gt;0),IF(COUNTIF($R$1:R22,$C23)=0,$C23,""),IF(AND($X23='KATKILI İŞLEMLER'!$F$4,'KATKILI İŞLEMLER'!$D$4="TİCARİ"),IF(COUNTIF($R$1:R22,$C23)=0,$C23,""),""))</f>
        <v/>
      </c>
      <c r="S23" s="103"/>
      <c r="T23" s="104" t="str">
        <f t="shared" si="4"/>
        <v>MG</v>
      </c>
      <c r="U23" s="109">
        <f t="shared" si="5"/>
        <v>0</v>
      </c>
      <c r="V23" s="109" t="str">
        <f t="shared" si="11"/>
        <v>0</v>
      </c>
      <c r="W23" s="103" t="s">
        <v>68</v>
      </c>
      <c r="X23" s="103" t="str">
        <f t="shared" si="6"/>
        <v>MG</v>
      </c>
      <c r="Y23" s="1">
        <f>+IF(OR(AND('KATKILI İŞLEMLER'!$D$4="BİREYSEL",'KATKI PAYI'!U23&lt;&gt;0),AND('KATKILI İŞLEMLER'!$D$4="TİCARİ",'KATKI PAYI'!V23&lt;&gt;0)),'KATKI PAYI'!B23,"")</f>
        <v>0</v>
      </c>
      <c r="Z23" s="1" t="str">
        <f>+IF(COUNTIF(Y$2:Y52,Y23)=1,Y23,"")</f>
        <v/>
      </c>
      <c r="AA23" s="1" t="str">
        <f t="array" ref="AA23">+IFERROR(INDEX(Z:Z,SMALL(IF(Z$2:Z$96&lt;&gt;"",ROW(Z$2:Z$96)),ROW(22:22))),"")</f>
        <v/>
      </c>
      <c r="AB23" s="1" t="e">
        <f t="shared" si="12"/>
        <v>#N/A</v>
      </c>
    </row>
    <row r="24" spans="1:28" ht="15" customHeight="1" x14ac:dyDescent="0.25">
      <c r="A24" s="123" t="s">
        <v>73</v>
      </c>
      <c r="B24" s="123"/>
      <c r="C24" s="123"/>
      <c r="D24" s="123"/>
      <c r="E24" s="123"/>
      <c r="F24" s="123"/>
      <c r="G24" s="123"/>
      <c r="H24" s="103" t="str">
        <f t="shared" si="0"/>
        <v xml:space="preserve"> </v>
      </c>
      <c r="I24" s="103" t="str">
        <f t="shared" si="1"/>
        <v xml:space="preserve"> </v>
      </c>
      <c r="J24" s="112" t="str">
        <f t="shared" si="2"/>
        <v xml:space="preserve"> </v>
      </c>
      <c r="K24" s="112">
        <v>3.2899999999999999E-2</v>
      </c>
      <c r="L24" s="112">
        <v>3.56E-2</v>
      </c>
      <c r="M24" s="113" t="str">
        <f t="shared" si="7"/>
        <v xml:space="preserve"> </v>
      </c>
      <c r="N24" s="113" t="str">
        <f t="shared" si="8"/>
        <v xml:space="preserve"> </v>
      </c>
      <c r="O24" s="113" t="str">
        <f t="shared" si="9"/>
        <v xml:space="preserve"> </v>
      </c>
      <c r="P24" s="113" t="str">
        <f t="shared" si="10"/>
        <v xml:space="preserve"> </v>
      </c>
      <c r="Q24" s="113" t="str">
        <f t="shared" si="3"/>
        <v xml:space="preserve"> </v>
      </c>
      <c r="R24" s="103" t="str">
        <f>+IF(AND($X24='KATKILI İŞLEMLER'!$F$4,'KATKILI İŞLEMLER'!$D$4="BİREYSEL",U24&gt;0),IF(COUNTIF($R$1:R23,$C24)=0,$C24,""),IF(AND($X24='KATKILI İŞLEMLER'!$F$4,'KATKILI İŞLEMLER'!$D$4="TİCARİ"),IF(COUNTIF($R$1:R23,$C24)=0,$C24,""),""))</f>
        <v/>
      </c>
      <c r="S24" s="103"/>
      <c r="T24" s="104" t="str">
        <f t="shared" si="4"/>
        <v>MG</v>
      </c>
      <c r="U24" s="109">
        <f t="shared" si="5"/>
        <v>0</v>
      </c>
      <c r="V24" s="109" t="str">
        <f t="shared" si="11"/>
        <v>0</v>
      </c>
      <c r="W24" s="103" t="s">
        <v>68</v>
      </c>
      <c r="X24" s="103" t="str">
        <f t="shared" si="6"/>
        <v>MG</v>
      </c>
      <c r="Y24" s="1">
        <f>+IF(OR(AND('KATKILI İŞLEMLER'!$D$4="BİREYSEL",'KATKI PAYI'!U24&lt;&gt;0),AND('KATKILI İŞLEMLER'!$D$4="TİCARİ",'KATKI PAYI'!V24&lt;&gt;0)),'KATKI PAYI'!B24,"")</f>
        <v>0</v>
      </c>
      <c r="Z24" s="1" t="str">
        <f>+IF(COUNTIF(Y$2:Y53,Y24)=1,Y24,"")</f>
        <v/>
      </c>
      <c r="AA24" s="1" t="str">
        <f t="array" ref="AA24">+IFERROR(INDEX(Z:Z,SMALL(IF(Z$2:Z$96&lt;&gt;"",ROW(Z$2:Z$96)),ROW(23:23))),"")</f>
        <v/>
      </c>
      <c r="AB24" s="1" t="e">
        <f t="shared" si="12"/>
        <v>#N/A</v>
      </c>
    </row>
    <row r="25" spans="1:28" ht="15" customHeight="1" x14ac:dyDescent="0.25">
      <c r="A25" s="123" t="s">
        <v>73</v>
      </c>
      <c r="B25" s="123"/>
      <c r="C25" s="123"/>
      <c r="D25" s="123"/>
      <c r="E25" s="123"/>
      <c r="F25" s="123"/>
      <c r="G25" s="123"/>
      <c r="H25" s="103" t="str">
        <f t="shared" si="0"/>
        <v xml:space="preserve"> </v>
      </c>
      <c r="I25" s="103" t="str">
        <f t="shared" si="1"/>
        <v xml:space="preserve"> </v>
      </c>
      <c r="J25" s="112" t="str">
        <f t="shared" si="2"/>
        <v xml:space="preserve"> </v>
      </c>
      <c r="K25" s="112">
        <v>3.2899999999999999E-2</v>
      </c>
      <c r="L25" s="112">
        <v>3.56E-2</v>
      </c>
      <c r="M25" s="113" t="str">
        <f t="shared" si="7"/>
        <v xml:space="preserve"> </v>
      </c>
      <c r="N25" s="113" t="str">
        <f t="shared" si="8"/>
        <v xml:space="preserve"> </v>
      </c>
      <c r="O25" s="113" t="str">
        <f t="shared" si="9"/>
        <v xml:space="preserve"> </v>
      </c>
      <c r="P25" s="113" t="str">
        <f t="shared" si="10"/>
        <v xml:space="preserve"> </v>
      </c>
      <c r="Q25" s="113" t="str">
        <f t="shared" si="3"/>
        <v xml:space="preserve"> </v>
      </c>
      <c r="R25" s="103" t="str">
        <f>+IF(AND($X25='KATKILI İŞLEMLER'!$F$4,'KATKILI İŞLEMLER'!$D$4="BİREYSEL",U25&gt;0),IF(COUNTIF($R$1:R24,$C25)=0,$C25,""),IF(AND($X25='KATKILI İŞLEMLER'!$F$4,'KATKILI İŞLEMLER'!$D$4="TİCARİ"),IF(COUNTIF($R$1:R24,$C25)=0,$C25,""),""))</f>
        <v/>
      </c>
      <c r="S25" s="103"/>
      <c r="T25" s="104" t="str">
        <f t="shared" si="4"/>
        <v>MG</v>
      </c>
      <c r="U25" s="109">
        <f t="shared" si="5"/>
        <v>0</v>
      </c>
      <c r="V25" s="109" t="str">
        <f t="shared" si="11"/>
        <v>0</v>
      </c>
      <c r="W25" s="103" t="s">
        <v>68</v>
      </c>
      <c r="X25" s="103" t="str">
        <f t="shared" si="6"/>
        <v>MG</v>
      </c>
      <c r="Y25" s="1">
        <f>+IF(OR(AND('KATKILI İŞLEMLER'!$D$4="BİREYSEL",'KATKI PAYI'!U25&lt;&gt;0),AND('KATKILI İŞLEMLER'!$D$4="TİCARİ",'KATKI PAYI'!V25&lt;&gt;0)),'KATKI PAYI'!B25,"")</f>
        <v>0</v>
      </c>
      <c r="Z25" s="1" t="str">
        <f>+IF(COUNTIF(Y$2:Y54,Y25)=1,Y25,"")</f>
        <v/>
      </c>
      <c r="AA25" s="1" t="str">
        <f t="array" ref="AA25">+IFERROR(INDEX(Z:Z,SMALL(IF(Z$2:Z$96&lt;&gt;"",ROW(Z$2:Z$96)),ROW(24:24))),"")</f>
        <v/>
      </c>
      <c r="AB25" s="1" t="e">
        <f t="shared" si="12"/>
        <v>#N/A</v>
      </c>
    </row>
    <row r="26" spans="1:28" ht="15" customHeight="1" x14ac:dyDescent="0.25">
      <c r="A26" s="123" t="s">
        <v>73</v>
      </c>
      <c r="B26" s="123"/>
      <c r="C26" s="123"/>
      <c r="D26" s="123"/>
      <c r="E26" s="123"/>
      <c r="F26" s="123"/>
      <c r="G26" s="123"/>
      <c r="H26" s="103" t="str">
        <f t="shared" si="0"/>
        <v xml:space="preserve"> </v>
      </c>
      <c r="I26" s="103" t="str">
        <f t="shared" si="1"/>
        <v xml:space="preserve"> </v>
      </c>
      <c r="J26" s="112" t="str">
        <f t="shared" si="2"/>
        <v xml:space="preserve"> </v>
      </c>
      <c r="K26" s="112">
        <v>3.2899999999999999E-2</v>
      </c>
      <c r="L26" s="112">
        <v>3.56E-2</v>
      </c>
      <c r="M26" s="113" t="str">
        <f t="shared" si="7"/>
        <v xml:space="preserve"> </v>
      </c>
      <c r="N26" s="113" t="str">
        <f t="shared" si="8"/>
        <v xml:space="preserve"> </v>
      </c>
      <c r="O26" s="113" t="str">
        <f t="shared" si="9"/>
        <v xml:space="preserve"> </v>
      </c>
      <c r="P26" s="113" t="str">
        <f t="shared" si="10"/>
        <v xml:space="preserve"> </v>
      </c>
      <c r="Q26" s="113" t="str">
        <f t="shared" si="3"/>
        <v xml:space="preserve"> </v>
      </c>
      <c r="R26" s="103" t="str">
        <f>+IF(AND($X26='KATKILI İŞLEMLER'!$F$4,'KATKILI İŞLEMLER'!$D$4="BİREYSEL",U26&gt;0),IF(COUNTIF($R$1:R25,$C26)=0,$C26,""),IF(AND($X26='KATKILI İŞLEMLER'!$F$4,'KATKILI İŞLEMLER'!$D$4="TİCARİ"),IF(COUNTIF($R$1:R25,$C26)=0,$C26,""),""))</f>
        <v/>
      </c>
      <c r="S26" s="103"/>
      <c r="T26" s="104" t="str">
        <f t="shared" si="4"/>
        <v>MG</v>
      </c>
      <c r="U26" s="109">
        <f t="shared" si="5"/>
        <v>0</v>
      </c>
      <c r="V26" s="109" t="str">
        <f t="shared" si="11"/>
        <v>0</v>
      </c>
      <c r="W26" s="103" t="s">
        <v>68</v>
      </c>
      <c r="X26" s="103" t="str">
        <f t="shared" si="6"/>
        <v>MG</v>
      </c>
      <c r="Y26" s="1">
        <f>+IF(OR(AND('KATKILI İŞLEMLER'!$D$4="BİREYSEL",'KATKI PAYI'!U26&lt;&gt;0),AND('KATKILI İŞLEMLER'!$D$4="TİCARİ",'KATKI PAYI'!V26&lt;&gt;0)),'KATKI PAYI'!B26,"")</f>
        <v>0</v>
      </c>
      <c r="Z26" s="1" t="str">
        <f>+IF(COUNTIF(Y$2:Y55,Y26)=1,Y26,"")</f>
        <v/>
      </c>
      <c r="AA26" s="1" t="str">
        <f t="array" ref="AA26">+IFERROR(INDEX(Z:Z,SMALL(IF(Z$2:Z$96&lt;&gt;"",ROW(Z$2:Z$96)),ROW(25:25))),"")</f>
        <v/>
      </c>
      <c r="AB26" s="1" t="e">
        <f t="shared" si="12"/>
        <v>#N/A</v>
      </c>
    </row>
    <row r="27" spans="1:28" ht="15" customHeight="1" x14ac:dyDescent="0.25">
      <c r="A27" s="123" t="s">
        <v>73</v>
      </c>
      <c r="B27" s="123"/>
      <c r="C27" s="123"/>
      <c r="D27" s="123"/>
      <c r="E27" s="123"/>
      <c r="F27" s="123"/>
      <c r="G27" s="123"/>
      <c r="H27" s="103" t="str">
        <f t="shared" si="0"/>
        <v xml:space="preserve"> </v>
      </c>
      <c r="I27" s="103" t="str">
        <f t="shared" si="1"/>
        <v xml:space="preserve"> </v>
      </c>
      <c r="J27" s="112" t="str">
        <f t="shared" si="2"/>
        <v xml:space="preserve"> </v>
      </c>
      <c r="K27" s="112">
        <v>3.2899999999999999E-2</v>
      </c>
      <c r="L27" s="112">
        <v>3.56E-2</v>
      </c>
      <c r="M27" s="113" t="str">
        <f t="shared" si="7"/>
        <v xml:space="preserve"> </v>
      </c>
      <c r="N27" s="113" t="str">
        <f t="shared" si="8"/>
        <v xml:space="preserve"> </v>
      </c>
      <c r="O27" s="113" t="str">
        <f t="shared" si="9"/>
        <v xml:space="preserve"> </v>
      </c>
      <c r="P27" s="113" t="str">
        <f t="shared" si="10"/>
        <v xml:space="preserve"> </v>
      </c>
      <c r="Q27" s="113" t="str">
        <f t="shared" si="3"/>
        <v xml:space="preserve"> </v>
      </c>
      <c r="R27" s="103" t="str">
        <f>+IF(AND($X27='KATKILI İŞLEMLER'!$F$4,'KATKILI İŞLEMLER'!$D$4="BİREYSEL",U27&gt;0),IF(COUNTIF($R$1:R26,$C27)=0,$C27,""),IF(AND($X27='KATKILI İŞLEMLER'!$F$4,'KATKILI İŞLEMLER'!$D$4="TİCARİ"),IF(COUNTIF($R$1:R26,$C27)=0,$C27,""),""))</f>
        <v/>
      </c>
      <c r="S27" s="103"/>
      <c r="T27" s="104" t="str">
        <f t="shared" si="4"/>
        <v>MG</v>
      </c>
      <c r="U27" s="109">
        <f t="shared" si="5"/>
        <v>0</v>
      </c>
      <c r="V27" s="109" t="str">
        <f t="shared" si="11"/>
        <v>0</v>
      </c>
      <c r="W27" s="103" t="s">
        <v>68</v>
      </c>
      <c r="X27" s="103" t="str">
        <f t="shared" si="6"/>
        <v>MG</v>
      </c>
      <c r="Y27" s="1">
        <f>+IF(OR(AND('KATKILI İŞLEMLER'!$D$4="BİREYSEL",'KATKI PAYI'!U27&lt;&gt;0),AND('KATKILI İŞLEMLER'!$D$4="TİCARİ",'KATKI PAYI'!V27&lt;&gt;0)),'KATKI PAYI'!B27,"")</f>
        <v>0</v>
      </c>
      <c r="Z27" s="1" t="str">
        <f>+IF(COUNTIF(Y$2:Y56,Y27)=1,Y27,"")</f>
        <v/>
      </c>
      <c r="AB27" s="1" t="e">
        <f t="shared" si="12"/>
        <v>#N/A</v>
      </c>
    </row>
    <row r="28" spans="1:28" ht="15" customHeight="1" x14ac:dyDescent="0.25">
      <c r="A28" s="123" t="s">
        <v>73</v>
      </c>
      <c r="B28" s="123"/>
      <c r="C28" s="123"/>
      <c r="D28" s="123"/>
      <c r="E28" s="123"/>
      <c r="F28" s="123"/>
      <c r="G28" s="123"/>
      <c r="H28" s="103" t="str">
        <f t="shared" si="0"/>
        <v xml:space="preserve"> </v>
      </c>
      <c r="I28" s="103" t="str">
        <f t="shared" si="1"/>
        <v xml:space="preserve"> </v>
      </c>
      <c r="J28" s="112" t="str">
        <f t="shared" si="2"/>
        <v xml:space="preserve"> </v>
      </c>
      <c r="K28" s="112">
        <v>3.2899999999999999E-2</v>
      </c>
      <c r="L28" s="112">
        <v>3.56E-2</v>
      </c>
      <c r="M28" s="113" t="str">
        <f t="shared" si="7"/>
        <v xml:space="preserve"> </v>
      </c>
      <c r="N28" s="113" t="str">
        <f t="shared" si="8"/>
        <v xml:space="preserve"> </v>
      </c>
      <c r="O28" s="113" t="str">
        <f t="shared" si="9"/>
        <v xml:space="preserve"> </v>
      </c>
      <c r="P28" s="113" t="str">
        <f t="shared" si="10"/>
        <v xml:space="preserve"> </v>
      </c>
      <c r="Q28" s="113" t="str">
        <f t="shared" si="3"/>
        <v xml:space="preserve"> </v>
      </c>
      <c r="R28" s="103" t="str">
        <f>+IF(AND($X28='KATKILI İŞLEMLER'!$F$4,'KATKILI İŞLEMLER'!$D$4="BİREYSEL",U28&gt;0),IF(COUNTIF($R$1:R27,$C28)=0,$C28,""),IF(AND($X28='KATKILI İŞLEMLER'!$F$4,'KATKILI İŞLEMLER'!$D$4="TİCARİ"),IF(COUNTIF($R$1:R27,$C28)=0,$C28,""),""))</f>
        <v/>
      </c>
      <c r="S28" s="103"/>
      <c r="T28" s="104" t="str">
        <f t="shared" si="4"/>
        <v>MG</v>
      </c>
      <c r="U28" s="109">
        <f t="shared" si="5"/>
        <v>0</v>
      </c>
      <c r="V28" s="109" t="str">
        <f t="shared" si="11"/>
        <v>0</v>
      </c>
      <c r="W28" s="103" t="s">
        <v>68</v>
      </c>
      <c r="X28" s="103" t="str">
        <f t="shared" si="6"/>
        <v>MG</v>
      </c>
      <c r="Y28" s="1">
        <f>+IF(OR(AND('KATKILI İŞLEMLER'!$D$4="BİREYSEL",'KATKI PAYI'!U28&lt;&gt;0),AND('KATKILI İŞLEMLER'!$D$4="TİCARİ",'KATKI PAYI'!V28&lt;&gt;0)),'KATKI PAYI'!B28,"")</f>
        <v>0</v>
      </c>
      <c r="Z28" s="1" t="str">
        <f>+IF(COUNTIF(Y$2:Y57,Y28)=1,Y28,"")</f>
        <v/>
      </c>
      <c r="AA28" s="1" t="str">
        <f t="array" ref="AA28">+IFERROR(INDEX(Z:Z,SMALL(IF(Z$2:Z$96&lt;&gt;"",ROW(Z$2:Z$96)),ROW(27:27))),"")</f>
        <v/>
      </c>
      <c r="AB28" s="1" t="e">
        <f t="shared" si="12"/>
        <v>#N/A</v>
      </c>
    </row>
    <row r="29" spans="1:28" ht="15" customHeight="1" x14ac:dyDescent="0.25">
      <c r="A29" s="123" t="s">
        <v>73</v>
      </c>
      <c r="B29" s="123"/>
      <c r="C29" s="123"/>
      <c r="D29" s="123"/>
      <c r="E29" s="123"/>
      <c r="F29" s="123"/>
      <c r="G29" s="123"/>
      <c r="H29" s="103" t="str">
        <f t="shared" si="0"/>
        <v xml:space="preserve"> </v>
      </c>
      <c r="I29" s="103" t="str">
        <f t="shared" si="1"/>
        <v xml:space="preserve"> </v>
      </c>
      <c r="J29" s="112" t="str">
        <f t="shared" si="2"/>
        <v xml:space="preserve"> </v>
      </c>
      <c r="K29" s="112">
        <v>3.2899999999999999E-2</v>
      </c>
      <c r="L29" s="112">
        <v>3.56E-2</v>
      </c>
      <c r="M29" s="113" t="str">
        <f t="shared" si="7"/>
        <v xml:space="preserve"> </v>
      </c>
      <c r="N29" s="113" t="str">
        <f t="shared" si="8"/>
        <v xml:space="preserve"> </v>
      </c>
      <c r="O29" s="113" t="str">
        <f t="shared" si="9"/>
        <v xml:space="preserve"> </v>
      </c>
      <c r="P29" s="113" t="str">
        <f t="shared" si="10"/>
        <v xml:space="preserve"> </v>
      </c>
      <c r="Q29" s="113" t="str">
        <f t="shared" si="3"/>
        <v xml:space="preserve"> </v>
      </c>
      <c r="R29" s="103" t="str">
        <f>+IF(AND($X29='KATKILI İŞLEMLER'!$F$4,'KATKILI İŞLEMLER'!$D$4="BİREYSEL",U29&gt;0),IF(COUNTIF($R$1:R28,$C29)=0,$C29,""),IF(AND($X29='KATKILI İŞLEMLER'!$F$4,'KATKILI İŞLEMLER'!$D$4="TİCARİ"),IF(COUNTIF($R$1:R28,$C29)=0,$C29,""),""))</f>
        <v/>
      </c>
      <c r="S29" s="103"/>
      <c r="T29" s="104" t="str">
        <f t="shared" si="4"/>
        <v>MG</v>
      </c>
      <c r="U29" s="109">
        <f t="shared" si="5"/>
        <v>0</v>
      </c>
      <c r="V29" s="109" t="str">
        <f t="shared" si="11"/>
        <v>0</v>
      </c>
      <c r="W29" s="103" t="s">
        <v>68</v>
      </c>
      <c r="X29" s="103" t="str">
        <f t="shared" si="6"/>
        <v>MG</v>
      </c>
      <c r="Y29" s="1">
        <f>+IF(OR(AND('KATKILI İŞLEMLER'!$D$4="BİREYSEL",'KATKI PAYI'!U29&lt;&gt;0),AND('KATKILI İŞLEMLER'!$D$4="TİCARİ",'KATKI PAYI'!V29&lt;&gt;0)),'KATKI PAYI'!B29,"")</f>
        <v>0</v>
      </c>
      <c r="Z29" s="1" t="str">
        <f>+IF(COUNTIF(Y$2:Y58,Y29)=1,Y29,"")</f>
        <v/>
      </c>
      <c r="AA29" s="1" t="str">
        <f t="array" ref="AA29">+IFERROR(INDEX(Z:Z,SMALL(IF(Z$2:Z$96&lt;&gt;"",ROW(Z$2:Z$96)),ROW(28:28))),"")</f>
        <v/>
      </c>
      <c r="AB29" s="1" t="e">
        <f t="shared" si="12"/>
        <v>#N/A</v>
      </c>
    </row>
    <row r="30" spans="1:28" ht="15" customHeight="1" x14ac:dyDescent="0.25">
      <c r="A30" s="123" t="s">
        <v>73</v>
      </c>
      <c r="B30" s="123"/>
      <c r="C30" s="123"/>
      <c r="D30" s="123"/>
      <c r="E30" s="123"/>
      <c r="F30" s="123"/>
      <c r="G30" s="123"/>
      <c r="H30" s="103" t="str">
        <f t="shared" ref="H30:H33" si="13">+IFERROR(LEFT(C30,FIND(" ",C30,1)-1)," ")</f>
        <v xml:space="preserve"> </v>
      </c>
      <c r="I30" s="103" t="str">
        <f t="shared" ref="I30:I33" si="14">IFERROR(+MID(C30,FIND("TL",C30)+2,FIND("Ay",C30)-FIND(" ",C30)-3)," ")</f>
        <v xml:space="preserve"> </v>
      </c>
      <c r="J30" s="112" t="str">
        <f t="shared" ref="J30:J33" si="15">IFERROR(+MID(C30,FIND("%",C30),LEN(C30)-FIND("%",C30)+1)," ")</f>
        <v xml:space="preserve"> </v>
      </c>
      <c r="K30" s="112">
        <v>3.2899999999999999E-2</v>
      </c>
      <c r="L30" s="112">
        <v>3.56E-2</v>
      </c>
      <c r="M30" s="113" t="str">
        <f t="shared" ref="M30:M33" si="16">IFERROR(PMT(J30,I30,H30)," ")</f>
        <v xml:space="preserve"> </v>
      </c>
      <c r="N30" s="113" t="str">
        <f t="shared" ref="N30:N33" si="17">IFERROR(PV(K30,I30,M30)," ")</f>
        <v xml:space="preserve"> </v>
      </c>
      <c r="O30" s="113" t="str">
        <f t="shared" ref="O30:O33" si="18">IFERROR(H30-N30," ")</f>
        <v xml:space="preserve"> </v>
      </c>
      <c r="P30" s="113" t="str">
        <f t="shared" ref="P30:P33" si="19">IFERROR(PV(L30,I30,M30)," ")</f>
        <v xml:space="preserve"> </v>
      </c>
      <c r="Q30" s="113" t="str">
        <f t="shared" ref="Q30:Q33" si="20">IFERROR(H30-P30," ")</f>
        <v xml:space="preserve"> </v>
      </c>
      <c r="R30" s="103" t="str">
        <f>+IF(AND($X30='KATKILI İŞLEMLER'!$F$4,'KATKILI İŞLEMLER'!$D$4="BİREYSEL",U30&gt;0),IF(COUNTIF($R$1:R29,$C30)=0,$C30,""),IF(AND($X30='KATKILI İŞLEMLER'!$F$4,'KATKILI İŞLEMLER'!$D$4="TİCARİ"),IF(COUNTIF($R$1:R29,$C30)=0,$C30,""),""))</f>
        <v/>
      </c>
      <c r="S30" s="103"/>
      <c r="T30" s="104" t="str">
        <f t="shared" ref="T30:T33" si="21">A30&amp;B30&amp;C30</f>
        <v>MG</v>
      </c>
      <c r="U30" s="109">
        <f t="shared" ref="U30:U33" si="22">IF(G30="",0,IFERROR(O30*1.3,"0"))</f>
        <v>0</v>
      </c>
      <c r="V30" s="109" t="str">
        <f t="shared" ref="V30:V33" si="23">IFERROR(Q30*1.05,"0")</f>
        <v>0</v>
      </c>
      <c r="W30" s="103" t="s">
        <v>68</v>
      </c>
      <c r="X30" s="103" t="str">
        <f t="shared" ref="X30:X33" si="24">A30&amp;B30</f>
        <v>MG</v>
      </c>
      <c r="Y30" s="1">
        <f>+IF(OR(AND('KATKILI İŞLEMLER'!$D$4="BİREYSEL",'KATKI PAYI'!U30&lt;&gt;0),AND('KATKILI İŞLEMLER'!$D$4="TİCARİ",'KATKI PAYI'!V30&lt;&gt;0)),'KATKI PAYI'!B30,"")</f>
        <v>0</v>
      </c>
      <c r="Z30" s="1" t="str">
        <f>+IF(COUNTIF(Y$2:Y59,Y30)=1,Y30,"")</f>
        <v/>
      </c>
      <c r="AA30" s="1" t="str">
        <f t="array" ref="AA30">+IFERROR(INDEX(Z:Z,SMALL(IF(Z$2:Z$96&lt;&gt;"",ROW(Z$2:Z$96)),ROW(29:29))),"")</f>
        <v/>
      </c>
      <c r="AB30" s="1" t="e">
        <f t="shared" si="12"/>
        <v>#N/A</v>
      </c>
    </row>
    <row r="31" spans="1:28" ht="15" customHeight="1" x14ac:dyDescent="0.25">
      <c r="A31" s="123" t="s">
        <v>73</v>
      </c>
      <c r="B31" s="123"/>
      <c r="C31" s="123"/>
      <c r="D31" s="123"/>
      <c r="E31" s="123"/>
      <c r="F31" s="123"/>
      <c r="G31" s="123"/>
      <c r="H31" s="103" t="str">
        <f t="shared" si="13"/>
        <v xml:space="preserve"> </v>
      </c>
      <c r="I31" s="103" t="str">
        <f t="shared" si="14"/>
        <v xml:space="preserve"> </v>
      </c>
      <c r="J31" s="112" t="str">
        <f t="shared" si="15"/>
        <v xml:space="preserve"> </v>
      </c>
      <c r="K31" s="112">
        <v>3.2899999999999999E-2</v>
      </c>
      <c r="L31" s="112">
        <v>3.56E-2</v>
      </c>
      <c r="M31" s="113" t="str">
        <f t="shared" si="16"/>
        <v xml:space="preserve"> </v>
      </c>
      <c r="N31" s="113" t="str">
        <f t="shared" si="17"/>
        <v xml:space="preserve"> </v>
      </c>
      <c r="O31" s="113" t="str">
        <f t="shared" si="18"/>
        <v xml:space="preserve"> </v>
      </c>
      <c r="P31" s="113" t="str">
        <f t="shared" si="19"/>
        <v xml:space="preserve"> </v>
      </c>
      <c r="Q31" s="113" t="str">
        <f t="shared" si="20"/>
        <v xml:space="preserve"> </v>
      </c>
      <c r="R31" s="103" t="str">
        <f>+IF(AND($X31='KATKILI İŞLEMLER'!$F$4,'KATKILI İŞLEMLER'!$D$4="BİREYSEL",U31&gt;0),IF(COUNTIF($R$1:R30,$C31)=0,$C31,""),IF(AND($X31='KATKILI İŞLEMLER'!$F$4,'KATKILI İŞLEMLER'!$D$4="TİCARİ"),IF(COUNTIF($R$1:R30,$C31)=0,$C31,""),""))</f>
        <v/>
      </c>
      <c r="S31" s="103"/>
      <c r="T31" s="104" t="str">
        <f t="shared" si="21"/>
        <v>MG</v>
      </c>
      <c r="U31" s="109">
        <f t="shared" si="22"/>
        <v>0</v>
      </c>
      <c r="V31" s="109" t="str">
        <f t="shared" si="23"/>
        <v>0</v>
      </c>
      <c r="W31" s="103" t="s">
        <v>68</v>
      </c>
      <c r="X31" s="103" t="str">
        <f t="shared" si="24"/>
        <v>MG</v>
      </c>
      <c r="Y31" s="1">
        <f>+IF(OR(AND('KATKILI İŞLEMLER'!$D$4="BİREYSEL",'KATKI PAYI'!U31&lt;&gt;0),AND('KATKILI İŞLEMLER'!$D$4="TİCARİ",'KATKI PAYI'!V31&lt;&gt;0)),'KATKI PAYI'!B31,"")</f>
        <v>0</v>
      </c>
      <c r="Z31" s="1" t="str">
        <f>+IF(COUNTIF(Y$2:Y60,Y31)=1,Y31,"")</f>
        <v/>
      </c>
      <c r="AA31" s="1" t="str">
        <f t="array" ref="AA31">+IFERROR(INDEX(Z:Z,SMALL(IF(Z$2:Z$96&lt;&gt;"",ROW(Z$2:Z$96)),ROW(30:30))),"")</f>
        <v/>
      </c>
      <c r="AB31" s="1" t="e">
        <f t="shared" si="12"/>
        <v>#N/A</v>
      </c>
    </row>
    <row r="32" spans="1:28" ht="15" customHeight="1" x14ac:dyDescent="0.25">
      <c r="A32" s="123" t="s">
        <v>73</v>
      </c>
      <c r="B32" s="123"/>
      <c r="C32" s="123"/>
      <c r="D32" s="123"/>
      <c r="E32" s="123"/>
      <c r="F32" s="123"/>
      <c r="G32" s="123"/>
      <c r="H32" s="103" t="str">
        <f t="shared" si="13"/>
        <v xml:space="preserve"> </v>
      </c>
      <c r="I32" s="103" t="str">
        <f t="shared" si="14"/>
        <v xml:space="preserve"> </v>
      </c>
      <c r="J32" s="112" t="str">
        <f t="shared" si="15"/>
        <v xml:space="preserve"> </v>
      </c>
      <c r="K32" s="112">
        <v>3.2899999999999999E-2</v>
      </c>
      <c r="L32" s="112">
        <v>3.56E-2</v>
      </c>
      <c r="M32" s="113" t="str">
        <f t="shared" si="16"/>
        <v xml:space="preserve"> </v>
      </c>
      <c r="N32" s="113" t="str">
        <f t="shared" si="17"/>
        <v xml:space="preserve"> </v>
      </c>
      <c r="O32" s="113" t="str">
        <f t="shared" si="18"/>
        <v xml:space="preserve"> </v>
      </c>
      <c r="P32" s="113" t="str">
        <f t="shared" si="19"/>
        <v xml:space="preserve"> </v>
      </c>
      <c r="Q32" s="113" t="str">
        <f t="shared" si="20"/>
        <v xml:space="preserve"> </v>
      </c>
      <c r="R32" s="103" t="str">
        <f>+IF(AND($X32='KATKILI İŞLEMLER'!$F$4,'KATKILI İŞLEMLER'!$D$4="BİREYSEL",U32&gt;0),IF(COUNTIF($R$1:R31,$C32)=0,$C32,""),IF(AND($X32='KATKILI İŞLEMLER'!$F$4,'KATKILI İŞLEMLER'!$D$4="TİCARİ"),IF(COUNTIF($R$1:R31,$C32)=0,$C32,""),""))</f>
        <v/>
      </c>
      <c r="S32" s="103"/>
      <c r="T32" s="104" t="str">
        <f t="shared" si="21"/>
        <v>MG</v>
      </c>
      <c r="U32" s="109">
        <f t="shared" si="22"/>
        <v>0</v>
      </c>
      <c r="V32" s="109" t="str">
        <f t="shared" si="23"/>
        <v>0</v>
      </c>
      <c r="W32" s="103" t="s">
        <v>68</v>
      </c>
      <c r="X32" s="103" t="str">
        <f t="shared" si="24"/>
        <v>MG</v>
      </c>
      <c r="Y32" s="1">
        <f>+IF(OR(AND('KATKILI İŞLEMLER'!$D$4="BİREYSEL",'KATKI PAYI'!U32&lt;&gt;0),AND('KATKILI İŞLEMLER'!$D$4="TİCARİ",'KATKI PAYI'!V32&lt;&gt;0)),'KATKI PAYI'!B32,"")</f>
        <v>0</v>
      </c>
      <c r="Z32" s="1" t="str">
        <f>+IF(COUNTIF(Y$2:Y61,Y32)=1,Y32,"")</f>
        <v/>
      </c>
      <c r="AA32" s="1" t="str">
        <f t="array" ref="AA32">+IFERROR(INDEX(Z:Z,SMALL(IF(Z$2:Z$96&lt;&gt;"",ROW(Z$2:Z$96)),ROW(31:31))),"")</f>
        <v/>
      </c>
      <c r="AB32" s="1" t="e">
        <f t="shared" si="12"/>
        <v>#N/A</v>
      </c>
    </row>
    <row r="33" spans="1:28" ht="15" customHeight="1" x14ac:dyDescent="0.25">
      <c r="A33" s="123" t="s">
        <v>73</v>
      </c>
      <c r="B33" s="123"/>
      <c r="C33" s="123"/>
      <c r="D33" s="123"/>
      <c r="E33" s="123"/>
      <c r="F33" s="123"/>
      <c r="G33" s="123"/>
      <c r="H33" s="103" t="str">
        <f t="shared" si="13"/>
        <v xml:space="preserve"> </v>
      </c>
      <c r="I33" s="103" t="str">
        <f t="shared" si="14"/>
        <v xml:space="preserve"> </v>
      </c>
      <c r="J33" s="112" t="str">
        <f t="shared" si="15"/>
        <v xml:space="preserve"> </v>
      </c>
      <c r="K33" s="112">
        <v>3.2899999999999999E-2</v>
      </c>
      <c r="L33" s="112">
        <v>3.56E-2</v>
      </c>
      <c r="M33" s="113" t="str">
        <f t="shared" si="16"/>
        <v xml:space="preserve"> </v>
      </c>
      <c r="N33" s="113" t="str">
        <f t="shared" si="17"/>
        <v xml:space="preserve"> </v>
      </c>
      <c r="O33" s="113" t="str">
        <f t="shared" si="18"/>
        <v xml:space="preserve"> </v>
      </c>
      <c r="P33" s="113" t="str">
        <f t="shared" si="19"/>
        <v xml:space="preserve"> </v>
      </c>
      <c r="Q33" s="113" t="str">
        <f t="shared" si="20"/>
        <v xml:space="preserve"> </v>
      </c>
      <c r="R33" s="103" t="str">
        <f>+IF(AND($X33='KATKILI İŞLEMLER'!$F$4,'KATKILI İŞLEMLER'!$D$4="BİREYSEL",U33&gt;0),IF(COUNTIF($R$1:R32,$C33)=0,$C33,""),IF(AND($X33='KATKILI İŞLEMLER'!$F$4,'KATKILI İŞLEMLER'!$D$4="TİCARİ"),IF(COUNTIF($R$1:R32,$C33)=0,$C33,""),""))</f>
        <v/>
      </c>
      <c r="S33" s="103"/>
      <c r="T33" s="104" t="str">
        <f t="shared" si="21"/>
        <v>MG</v>
      </c>
      <c r="U33" s="109">
        <f t="shared" si="22"/>
        <v>0</v>
      </c>
      <c r="V33" s="109" t="str">
        <f t="shared" si="23"/>
        <v>0</v>
      </c>
      <c r="W33" s="103" t="s">
        <v>68</v>
      </c>
      <c r="X33" s="103" t="str">
        <f t="shared" si="24"/>
        <v>MG</v>
      </c>
      <c r="Y33" s="1">
        <f>+IF(OR(AND('KATKILI İŞLEMLER'!$D$4="BİREYSEL",'KATKI PAYI'!U33&lt;&gt;0),AND('KATKILI İŞLEMLER'!$D$4="TİCARİ",'KATKI PAYI'!V33&lt;&gt;0)),'KATKI PAYI'!B33,"")</f>
        <v>0</v>
      </c>
      <c r="Z33" s="1" t="str">
        <f>+IF(COUNTIF(Y$2:Y62,Y33)=1,Y33,"")</f>
        <v/>
      </c>
      <c r="AA33" s="1" t="str">
        <f t="array" ref="AA33">+IFERROR(INDEX(Z:Z,SMALL(IF(Z$2:Z$96&lt;&gt;"",ROW(Z$2:Z$96)),ROW(32:32))),"")</f>
        <v/>
      </c>
      <c r="AB33" s="1" t="e">
        <f t="shared" si="12"/>
        <v>#N/A</v>
      </c>
    </row>
    <row r="34" spans="1:28" x14ac:dyDescent="0.25">
      <c r="Y34" s="1" t="str">
        <f>+IF(OR(AND('KATKILI İŞLEMLER'!$D$4="BİREYSEL",'KATKI PAYI'!U34&lt;&gt;0),AND('KATKILI İŞLEMLER'!$D$4="TİCARİ",'KATKI PAYI'!V34&lt;&gt;0)),'KATKI PAYI'!B34,"")</f>
        <v/>
      </c>
      <c r="Z34" s="1" t="str">
        <f>+IF(COUNTIF(Y$2:Y34,Y34)=1,Y34,"")</f>
        <v/>
      </c>
      <c r="AA34" s="1" t="str">
        <f t="array" ref="AA34">+IFERROR(INDEX(Z:Z,SMALL(IF(Z$2:Z$96&lt;&gt;"",ROW(Z$2:Z$96)),ROW(#REF!))),"")</f>
        <v/>
      </c>
      <c r="AB34" s="1" t="e">
        <f t="shared" si="12"/>
        <v>#N/A</v>
      </c>
    </row>
    <row r="35" spans="1:28" x14ac:dyDescent="0.25">
      <c r="Y35" s="1" t="str">
        <f>+IF(OR(AND('KATKILI İŞLEMLER'!$D$4="BİREYSEL",'KATKI PAYI'!U35&lt;&gt;0),AND('KATKILI İŞLEMLER'!$D$4="TİCARİ",'KATKI PAYI'!V35&lt;&gt;0)),'KATKI PAYI'!B35,"")</f>
        <v/>
      </c>
      <c r="Z35" s="1" t="str">
        <f>+IF(COUNTIF(Y$2:Y35,Y35)=1,Y35,"")</f>
        <v/>
      </c>
      <c r="AA35" s="1" t="str">
        <f t="array" ref="AA35">+IFERROR(INDEX(Z:Z,SMALL(IF(Z$2:Z$96&lt;&gt;"",ROW(Z$2:Z$96)),ROW(34:34))),"")</f>
        <v/>
      </c>
      <c r="AB35" s="1" t="e">
        <f t="shared" si="12"/>
        <v>#N/A</v>
      </c>
    </row>
    <row r="36" spans="1:28" x14ac:dyDescent="0.25">
      <c r="Y36" s="1" t="str">
        <f>+IF(OR(AND('KATKILI İŞLEMLER'!$D$4="BİREYSEL",'KATKI PAYI'!U36&lt;&gt;0),AND('KATKILI İŞLEMLER'!$D$4="TİCARİ",'KATKI PAYI'!V36&lt;&gt;0)),'KATKI PAYI'!B36,"")</f>
        <v/>
      </c>
      <c r="Z36" s="1" t="str">
        <f>+IF(COUNTIF(Y$2:Y36,Y36)=1,Y36,"")</f>
        <v/>
      </c>
      <c r="AA36" s="1" t="str">
        <f t="array" ref="AA36">+IFERROR(INDEX(Z:Z,SMALL(IF(Z$2:Z$96&lt;&gt;"",ROW(Z$2:Z$96)),ROW(35:35))),"")</f>
        <v/>
      </c>
      <c r="AB36" s="1" t="e">
        <f t="shared" si="12"/>
        <v>#N/A</v>
      </c>
    </row>
    <row r="37" spans="1:28" x14ac:dyDescent="0.25">
      <c r="Y37" s="1" t="str">
        <f>+IF(OR(AND('KATKILI İŞLEMLER'!$D$4="BİREYSEL",'KATKI PAYI'!U37&lt;&gt;0),AND('KATKILI İŞLEMLER'!$D$4="TİCARİ",'KATKI PAYI'!V37&lt;&gt;0)),'KATKI PAYI'!B37,"")</f>
        <v/>
      </c>
      <c r="Z37" s="1" t="str">
        <f>+IF(COUNTIF(Y$2:Y37,Y37)=1,Y37,"")</f>
        <v/>
      </c>
      <c r="AA37" s="1" t="str">
        <f t="array" ref="AA37">+IFERROR(INDEX(Z:Z,SMALL(IF(Z$2:Z$96&lt;&gt;"",ROW(Z$2:Z$96)),ROW(36:36))),"")</f>
        <v/>
      </c>
      <c r="AB37" s="1" t="e">
        <f t="shared" si="12"/>
        <v>#N/A</v>
      </c>
    </row>
    <row r="38" spans="1:28" x14ac:dyDescent="0.25">
      <c r="Y38" s="1" t="str">
        <f>+IF(OR(AND('KATKILI İŞLEMLER'!$D$4="BİREYSEL",'KATKI PAYI'!U38&lt;&gt;0),AND('KATKILI İŞLEMLER'!$D$4="TİCARİ",'KATKI PAYI'!V38&lt;&gt;0)),'KATKI PAYI'!B38,"")</f>
        <v/>
      </c>
      <c r="Z38" s="1" t="str">
        <f>+IF(COUNTIF(Y$2:Y38,Y38)=1,Y38,"")</f>
        <v/>
      </c>
      <c r="AA38" s="1" t="str">
        <f t="array" ref="AA38">+IFERROR(INDEX(Z:Z,SMALL(IF(Z$2:Z$96&lt;&gt;"",ROW(Z$2:Z$96)),ROW(37:37))),"")</f>
        <v/>
      </c>
      <c r="AB38" s="1" t="e">
        <f t="shared" si="12"/>
        <v>#N/A</v>
      </c>
    </row>
    <row r="39" spans="1:28" x14ac:dyDescent="0.25">
      <c r="Y39" s="1" t="str">
        <f>+IF(OR(AND('KATKILI İŞLEMLER'!$D$4="BİREYSEL",'KATKI PAYI'!U39&lt;&gt;0),AND('KATKILI İŞLEMLER'!$D$4="TİCARİ",'KATKI PAYI'!V39&lt;&gt;0)),'KATKI PAYI'!B39,"")</f>
        <v/>
      </c>
      <c r="Z39" s="1" t="str">
        <f>+IF(COUNTIF(Y$2:Y39,Y39)=1,Y39,"")</f>
        <v/>
      </c>
      <c r="AA39" s="1" t="str">
        <f t="array" ref="AA39">+IFERROR(INDEX(Z:Z,SMALL(IF(Z$2:Z$96&lt;&gt;"",ROW(Z$2:Z$96)),ROW(38:38))),"")</f>
        <v/>
      </c>
      <c r="AB39" s="1" t="e">
        <f t="shared" si="12"/>
        <v>#N/A</v>
      </c>
    </row>
    <row r="40" spans="1:28" x14ac:dyDescent="0.25">
      <c r="Y40" s="1" t="str">
        <f>+IF(OR(AND('KATKILI İŞLEMLER'!$D$4="BİREYSEL",'KATKI PAYI'!U40&lt;&gt;0),AND('KATKILI İŞLEMLER'!$D$4="TİCARİ",'KATKI PAYI'!V40&lt;&gt;0)),'KATKI PAYI'!B40,"")</f>
        <v/>
      </c>
      <c r="Z40" s="1" t="str">
        <f>+IF(COUNTIF(Y$2:Y40,Y40)=1,Y40,"")</f>
        <v/>
      </c>
      <c r="AA40" s="1" t="str">
        <f t="array" ref="AA40">+IFERROR(INDEX(Z:Z,SMALL(IF(Z$2:Z$96&lt;&gt;"",ROW(Z$2:Z$96)),ROW(39:39))),"")</f>
        <v/>
      </c>
      <c r="AB40" s="1" t="e">
        <f t="shared" si="12"/>
        <v>#N/A</v>
      </c>
    </row>
    <row r="41" spans="1:28" x14ac:dyDescent="0.25">
      <c r="Y41" s="1" t="str">
        <f>+IF(OR(AND('KATKILI İŞLEMLER'!$D$4="BİREYSEL",'KATKI PAYI'!U41&lt;&gt;0),AND('KATKILI İŞLEMLER'!$D$4="TİCARİ",'KATKI PAYI'!V41&lt;&gt;0)),'KATKI PAYI'!B41,"")</f>
        <v/>
      </c>
      <c r="Z41" s="1" t="str">
        <f>+IF(COUNTIF(Y$2:Y41,Y41)=1,Y41,"")</f>
        <v/>
      </c>
      <c r="AA41" s="1" t="str">
        <f t="array" ref="AA41">+IFERROR(INDEX(Z:Z,SMALL(IF(Z$2:Z$96&lt;&gt;"",ROW(Z$2:Z$96)),ROW(40:40))),"")</f>
        <v/>
      </c>
      <c r="AB41" s="1" t="e">
        <f t="shared" si="12"/>
        <v>#N/A</v>
      </c>
    </row>
    <row r="42" spans="1:28" x14ac:dyDescent="0.25">
      <c r="Y42" s="1" t="str">
        <f>+IF(OR(AND('KATKILI İŞLEMLER'!$D$4="BİREYSEL",'KATKI PAYI'!U42&lt;&gt;0),AND('KATKILI İŞLEMLER'!$D$4="TİCARİ",'KATKI PAYI'!V42&lt;&gt;0)),'KATKI PAYI'!B42,"")</f>
        <v/>
      </c>
      <c r="Z42" s="1" t="str">
        <f>+IF(COUNTIF(Y$2:Y42,Y42)=1,Y42,"")</f>
        <v/>
      </c>
      <c r="AA42" s="1" t="str">
        <f t="array" ref="AA42">+IFERROR(INDEX(Z:Z,SMALL(IF(Z$2:Z$96&lt;&gt;"",ROW(Z$2:Z$96)),ROW(41:41))),"")</f>
        <v/>
      </c>
      <c r="AB42" s="1" t="e">
        <f t="shared" si="12"/>
        <v>#N/A</v>
      </c>
    </row>
    <row r="43" spans="1:28" x14ac:dyDescent="0.25">
      <c r="Y43" s="1" t="str">
        <f>+IF(OR(AND('KATKILI İŞLEMLER'!$D$4="BİREYSEL",'KATKI PAYI'!U43&lt;&gt;0),AND('KATKILI İŞLEMLER'!$D$4="TİCARİ",'KATKI PAYI'!V43&lt;&gt;0)),'KATKI PAYI'!B43,"")</f>
        <v/>
      </c>
      <c r="Z43" s="1" t="str">
        <f>+IF(COUNTIF(Y$2:Y43,Y43)=1,Y43,"")</f>
        <v/>
      </c>
      <c r="AA43" s="1" t="str">
        <f t="array" ref="AA43">+IFERROR(INDEX(Z:Z,SMALL(IF(Z$2:Z$96&lt;&gt;"",ROW(Z$2:Z$96)),ROW(42:42))),"")</f>
        <v/>
      </c>
      <c r="AB43" s="1" t="e">
        <f t="shared" si="12"/>
        <v>#N/A</v>
      </c>
    </row>
    <row r="44" spans="1:28" x14ac:dyDescent="0.25">
      <c r="Y44" s="1" t="str">
        <f>+IF(OR(AND('KATKILI İŞLEMLER'!$D$4="BİREYSEL",'KATKI PAYI'!U44&lt;&gt;0),AND('KATKILI İŞLEMLER'!$D$4="TİCARİ",'KATKI PAYI'!V44&lt;&gt;0)),'KATKI PAYI'!B44,"")</f>
        <v/>
      </c>
      <c r="Z44" s="1" t="str">
        <f>+IF(COUNTIF(Y$2:Y44,Y44)=1,Y44,"")</f>
        <v/>
      </c>
      <c r="AA44" s="1" t="str">
        <f t="array" ref="AA44">+IFERROR(INDEX(Z:Z,SMALL(IF(Z$2:Z$96&lt;&gt;"",ROW(Z$2:Z$96)),ROW(43:43))),"")</f>
        <v/>
      </c>
      <c r="AB44" s="1" t="e">
        <f t="shared" si="12"/>
        <v>#N/A</v>
      </c>
    </row>
    <row r="45" spans="1:28" x14ac:dyDescent="0.25">
      <c r="Y45" s="1" t="str">
        <f>+IF(OR(AND('KATKILI İŞLEMLER'!$D$4="BİREYSEL",'KATKI PAYI'!U45&lt;&gt;0),AND('KATKILI İŞLEMLER'!$D$4="TİCARİ",'KATKI PAYI'!V45&lt;&gt;0)),'KATKI PAYI'!B45,"")</f>
        <v/>
      </c>
      <c r="Z45" s="1" t="str">
        <f>+IF(COUNTIF(Y$2:Y45,Y45)=1,Y45,"")</f>
        <v/>
      </c>
      <c r="AA45" s="1" t="str">
        <f t="array" ref="AA45">+IFERROR(INDEX(Z:Z,SMALL(IF(Z$2:Z$96&lt;&gt;"",ROW(Z$2:Z$96)),ROW(44:44))),"")</f>
        <v/>
      </c>
      <c r="AB45" s="1" t="e">
        <f t="shared" si="12"/>
        <v>#N/A</v>
      </c>
    </row>
    <row r="46" spans="1:28" x14ac:dyDescent="0.25">
      <c r="Y46" s="1" t="str">
        <f>+IF(OR(AND('KATKILI İŞLEMLER'!$D$4="BİREYSEL",'KATKI PAYI'!U46&lt;&gt;0),AND('KATKILI İŞLEMLER'!$D$4="TİCARİ",'KATKI PAYI'!V46&lt;&gt;0)),'KATKI PAYI'!B46,"")</f>
        <v/>
      </c>
      <c r="Z46" s="1" t="str">
        <f>+IF(COUNTIF(Y$2:Y46,Y46)=1,Y46,"")</f>
        <v/>
      </c>
      <c r="AA46" s="1" t="str">
        <f t="array" ref="AA46">+IFERROR(INDEX(Z:Z,SMALL(IF(Z$2:Z$96&lt;&gt;"",ROW(Z$2:Z$96)),ROW(45:45))),"")</f>
        <v/>
      </c>
      <c r="AB46" s="1" t="e">
        <f t="shared" si="12"/>
        <v>#N/A</v>
      </c>
    </row>
    <row r="47" spans="1:28" x14ac:dyDescent="0.25">
      <c r="Y47" s="1" t="str">
        <f>+IF(OR(AND('KATKILI İŞLEMLER'!$D$4="BİREYSEL",'KATKI PAYI'!U47&lt;&gt;0),AND('KATKILI İŞLEMLER'!$D$4="TİCARİ",'KATKI PAYI'!V47&lt;&gt;0)),'KATKI PAYI'!B47,"")</f>
        <v/>
      </c>
      <c r="Z47" s="1" t="str">
        <f>+IF(COUNTIF(Y$2:Y47,Y47)=1,Y47,"")</f>
        <v/>
      </c>
      <c r="AA47" s="1" t="str">
        <f t="array" ref="AA47">+IFERROR(INDEX(Z:Z,SMALL(IF(Z$2:Z$96&lt;&gt;"",ROW(Z$2:Z$96)),ROW(46:46))),"")</f>
        <v/>
      </c>
      <c r="AB47" s="1" t="e">
        <f t="shared" si="12"/>
        <v>#N/A</v>
      </c>
    </row>
    <row r="48" spans="1:28" x14ac:dyDescent="0.25">
      <c r="Y48" s="1" t="str">
        <f>+IF(OR(AND('KATKILI İŞLEMLER'!$D$4="BİREYSEL",'KATKI PAYI'!U48&lt;&gt;0),AND('KATKILI İŞLEMLER'!$D$4="TİCARİ",'KATKI PAYI'!V48&lt;&gt;0)),'KATKI PAYI'!B48,"")</f>
        <v/>
      </c>
      <c r="Z48" s="1" t="str">
        <f>+IF(COUNTIF(Y$2:Y48,Y48)=1,Y48,"")</f>
        <v/>
      </c>
      <c r="AA48" s="1" t="str">
        <f t="array" ref="AA48">+IFERROR(INDEX(Z:Z,SMALL(IF(Z$2:Z$96&lt;&gt;"",ROW(Z$2:Z$96)),ROW(47:47))),"")</f>
        <v/>
      </c>
      <c r="AB48" s="1" t="e">
        <f t="shared" si="12"/>
        <v>#N/A</v>
      </c>
    </row>
    <row r="49" spans="25:28" x14ac:dyDescent="0.25">
      <c r="Y49" s="1" t="str">
        <f>+IF(OR(AND('KATKILI İŞLEMLER'!$D$4="BİREYSEL",'KATKI PAYI'!U49&lt;&gt;0),AND('KATKILI İŞLEMLER'!$D$4="TİCARİ",'KATKI PAYI'!V49&lt;&gt;0)),'KATKI PAYI'!B49,"")</f>
        <v/>
      </c>
      <c r="Z49" s="1" t="str">
        <f>+IF(COUNTIF(Y$2:Y49,Y49)=1,Y49,"")</f>
        <v/>
      </c>
      <c r="AA49" s="1" t="str">
        <f t="array" ref="AA49">+IFERROR(INDEX(Z:Z,SMALL(IF(Z$2:Z$96&lt;&gt;"",ROW(Z$2:Z$96)),ROW(48:48))),"")</f>
        <v/>
      </c>
      <c r="AB49" s="1" t="e">
        <f t="shared" si="12"/>
        <v>#N/A</v>
      </c>
    </row>
    <row r="50" spans="25:28" x14ac:dyDescent="0.25">
      <c r="Y50" s="1" t="str">
        <f>+IF(OR(AND('KATKILI İŞLEMLER'!$D$4="BİREYSEL",'KATKI PAYI'!U50&lt;&gt;0),AND('KATKILI İŞLEMLER'!$D$4="TİCARİ",'KATKI PAYI'!V50&lt;&gt;0)),'KATKI PAYI'!B50,"")</f>
        <v/>
      </c>
      <c r="Z50" s="1" t="str">
        <f>+IF(COUNTIF(Y$2:Y50,Y50)=1,Y50,"")</f>
        <v/>
      </c>
      <c r="AA50" s="1" t="str">
        <f t="array" ref="AA50">+IFERROR(INDEX(Z:Z,SMALL(IF(Z$2:Z$96&lt;&gt;"",ROW(Z$2:Z$96)),ROW(49:49))),"")</f>
        <v/>
      </c>
      <c r="AB50" s="1" t="e">
        <f t="shared" si="12"/>
        <v>#N/A</v>
      </c>
    </row>
    <row r="51" spans="25:28" x14ac:dyDescent="0.25">
      <c r="Y51" s="1" t="str">
        <f>+IF(OR(AND('KATKILI İŞLEMLER'!$D$4="BİREYSEL",'KATKI PAYI'!U51&lt;&gt;0),AND('KATKILI İŞLEMLER'!$D$4="TİCARİ",'KATKI PAYI'!V51&lt;&gt;0)),'KATKI PAYI'!B51,"")</f>
        <v/>
      </c>
      <c r="Z51" s="1" t="str">
        <f>+IF(COUNTIF(Y$2:Y51,Y51)=1,Y51,"")</f>
        <v/>
      </c>
      <c r="AA51" s="1" t="str">
        <f t="array" ref="AA51">+IFERROR(INDEX(Z:Z,SMALL(IF(Z$2:Z$96&lt;&gt;"",ROW(Z$2:Z$96)),ROW(50:50))),"")</f>
        <v/>
      </c>
      <c r="AB51" s="1" t="e">
        <f t="shared" si="12"/>
        <v>#N/A</v>
      </c>
    </row>
    <row r="52" spans="25:28" x14ac:dyDescent="0.25">
      <c r="Y52" s="1" t="str">
        <f>+IF(OR(AND('KATKILI İŞLEMLER'!$D$4="BİREYSEL",'KATKI PAYI'!U52&lt;&gt;0),AND('KATKILI İŞLEMLER'!$D$4="TİCARİ",'KATKI PAYI'!V52&lt;&gt;0)),'KATKI PAYI'!B52,"")</f>
        <v/>
      </c>
      <c r="Z52" s="1" t="str">
        <f>+IF(COUNTIF(Y$2:Y52,Y52)=1,Y52,"")</f>
        <v/>
      </c>
      <c r="AA52" s="1" t="str">
        <f t="array" ref="AA52">+IFERROR(INDEX(Z:Z,SMALL(IF(Z$2:Z$96&lt;&gt;"",ROW(Z$2:Z$96)),ROW(51:51))),"")</f>
        <v/>
      </c>
      <c r="AB52" s="1" t="e">
        <f t="shared" si="12"/>
        <v>#N/A</v>
      </c>
    </row>
    <row r="53" spans="25:28" x14ac:dyDescent="0.25">
      <c r="Y53" s="1" t="str">
        <f>+IF(OR(AND('KATKILI İŞLEMLER'!$D$4="BİREYSEL",'KATKI PAYI'!U53&lt;&gt;0),AND('KATKILI İŞLEMLER'!$D$4="TİCARİ",'KATKI PAYI'!V53&lt;&gt;0)),'KATKI PAYI'!B53,"")</f>
        <v/>
      </c>
      <c r="Z53" s="1" t="str">
        <f>+IF(COUNTIF(Y$2:Y53,Y53)=1,Y53,"")</f>
        <v/>
      </c>
      <c r="AA53" s="1" t="str">
        <f t="array" ref="AA53">+IFERROR(INDEX(Z:Z,SMALL(IF(Z$2:Z$96&lt;&gt;"",ROW(Z$2:Z$96)),ROW(52:52))),"")</f>
        <v/>
      </c>
      <c r="AB53" s="1" t="e">
        <f t="shared" si="12"/>
        <v>#N/A</v>
      </c>
    </row>
    <row r="54" spans="25:28" x14ac:dyDescent="0.25">
      <c r="Y54" s="1" t="str">
        <f>+IF(OR(AND('KATKILI İŞLEMLER'!$D$4="BİREYSEL",'KATKI PAYI'!U54&lt;&gt;0),AND('KATKILI İŞLEMLER'!$D$4="TİCARİ",'KATKI PAYI'!V54&lt;&gt;0)),'KATKI PAYI'!B54,"")</f>
        <v/>
      </c>
      <c r="Z54" s="1" t="str">
        <f>+IF(COUNTIF(Y$2:Y54,Y54)=1,Y54,"")</f>
        <v/>
      </c>
      <c r="AA54" s="1" t="str">
        <f t="array" ref="AA54">+IFERROR(INDEX(Z:Z,SMALL(IF(Z$2:Z$96&lt;&gt;"",ROW(Z$2:Z$96)),ROW(53:53))),"")</f>
        <v/>
      </c>
      <c r="AB54" s="1" t="e">
        <f t="shared" si="12"/>
        <v>#N/A</v>
      </c>
    </row>
    <row r="55" spans="25:28" x14ac:dyDescent="0.25">
      <c r="Y55" s="1" t="str">
        <f>+IF(OR(AND('KATKILI İŞLEMLER'!$D$4="BİREYSEL",'KATKI PAYI'!U55&lt;&gt;0),AND('KATKILI İŞLEMLER'!$D$4="TİCARİ",'KATKI PAYI'!V55&lt;&gt;0)),'KATKI PAYI'!B55,"")</f>
        <v/>
      </c>
      <c r="Z55" s="1" t="str">
        <f>+IF(COUNTIF(Y$2:Y55,Y55)=1,Y55,"")</f>
        <v/>
      </c>
      <c r="AA55" s="1" t="str">
        <f t="array" ref="AA55">+IFERROR(INDEX(Z:Z,SMALL(IF(Z$2:Z$96&lt;&gt;"",ROW(Z$2:Z$96)),ROW(54:54))),"")</f>
        <v/>
      </c>
      <c r="AB55" s="1" t="e">
        <f t="shared" si="12"/>
        <v>#N/A</v>
      </c>
    </row>
    <row r="56" spans="25:28" x14ac:dyDescent="0.25">
      <c r="Y56" s="1" t="str">
        <f>+IF(OR(AND('KATKILI İŞLEMLER'!$D$4="BİREYSEL",'KATKI PAYI'!U56&lt;&gt;0),AND('KATKILI İŞLEMLER'!$D$4="TİCARİ",'KATKI PAYI'!V56&lt;&gt;0)),'KATKI PAYI'!B56,"")</f>
        <v/>
      </c>
      <c r="Z56" s="1" t="str">
        <f>+IF(COUNTIF(Y$2:Y56,Y56)=1,Y56,"")</f>
        <v/>
      </c>
      <c r="AA56" s="1" t="str">
        <f t="array" ref="AA56">+IFERROR(INDEX(Z:Z,SMALL(IF(Z$2:Z$96&lt;&gt;"",ROW(Z$2:Z$96)),ROW(55:55))),"")</f>
        <v/>
      </c>
      <c r="AB56" s="1" t="e">
        <f t="shared" si="12"/>
        <v>#N/A</v>
      </c>
    </row>
    <row r="57" spans="25:28" x14ac:dyDescent="0.25">
      <c r="Y57" s="1" t="str">
        <f>+IF(OR(AND('KATKILI İŞLEMLER'!$D$4="BİREYSEL",'KATKI PAYI'!U57&lt;&gt;0),AND('KATKILI İŞLEMLER'!$D$4="TİCARİ",'KATKI PAYI'!V57&lt;&gt;0)),'KATKI PAYI'!B57,"")</f>
        <v/>
      </c>
      <c r="Z57" s="1" t="str">
        <f>+IF(COUNTIF(Y$2:Y57,Y57)=1,Y57,"")</f>
        <v/>
      </c>
      <c r="AA57" s="1" t="str">
        <f t="array" ref="AA57">+IFERROR(INDEX(Z:Z,SMALL(IF(Z$2:Z$96&lt;&gt;"",ROW(Z$2:Z$96)),ROW(56:56))),"")</f>
        <v/>
      </c>
      <c r="AB57" s="1" t="e">
        <f t="shared" si="12"/>
        <v>#N/A</v>
      </c>
    </row>
    <row r="58" spans="25:28" x14ac:dyDescent="0.25">
      <c r="Y58" s="1" t="str">
        <f>+IF(OR(AND('KATKILI İŞLEMLER'!$D$4="BİREYSEL",'KATKI PAYI'!U58&lt;&gt;0),AND('KATKILI İŞLEMLER'!$D$4="TİCARİ",'KATKI PAYI'!V58&lt;&gt;0)),'KATKI PAYI'!B58,"")</f>
        <v/>
      </c>
      <c r="Z58" s="1" t="str">
        <f>+IF(COUNTIF(Y$2:Y58,Y58)=1,Y58,"")</f>
        <v/>
      </c>
      <c r="AA58" s="1" t="str">
        <f t="array" ref="AA58">+IFERROR(INDEX(Z:Z,SMALL(IF(Z$2:Z$96&lt;&gt;"",ROW(Z$2:Z$96)),ROW(57:57))),"")</f>
        <v/>
      </c>
      <c r="AB58" s="1" t="e">
        <f t="shared" si="12"/>
        <v>#N/A</v>
      </c>
    </row>
    <row r="59" spans="25:28" x14ac:dyDescent="0.25">
      <c r="Y59" s="1" t="str">
        <f>+IF(OR(AND('KATKILI İŞLEMLER'!$D$4="BİREYSEL",'KATKI PAYI'!U59&lt;&gt;0),AND('KATKILI İŞLEMLER'!$D$4="TİCARİ",'KATKI PAYI'!V59&lt;&gt;0)),'KATKI PAYI'!B59,"")</f>
        <v/>
      </c>
      <c r="Z59" s="1" t="str">
        <f>+IF(COUNTIF(Y$2:Y59,Y59)=1,Y59,"")</f>
        <v/>
      </c>
      <c r="AA59" s="1" t="str">
        <f t="array" ref="AA59">+IFERROR(INDEX(Z:Z,SMALL(IF(Z$2:Z$96&lt;&gt;"",ROW(Z$2:Z$96)),ROW(58:58))),"")</f>
        <v/>
      </c>
      <c r="AB59" s="1" t="e">
        <f t="shared" si="12"/>
        <v>#N/A</v>
      </c>
    </row>
    <row r="60" spans="25:28" x14ac:dyDescent="0.25">
      <c r="Y60" s="1" t="str">
        <f>+IF(OR(AND('KATKILI İŞLEMLER'!$D$4="BİREYSEL",'KATKI PAYI'!U60&lt;&gt;0),AND('KATKILI İŞLEMLER'!$D$4="TİCARİ",'KATKI PAYI'!V60&lt;&gt;0)),'KATKI PAYI'!B60,"")</f>
        <v/>
      </c>
      <c r="Z60" s="1" t="str">
        <f>+IF(COUNTIF(Y$2:Y60,Y60)=1,Y60,"")</f>
        <v/>
      </c>
      <c r="AA60" s="1" t="str">
        <f t="array" ref="AA60">+IFERROR(INDEX(Z:Z,SMALL(IF(Z$2:Z$96&lt;&gt;"",ROW(Z$2:Z$96)),ROW(59:59))),"")</f>
        <v/>
      </c>
      <c r="AB60" s="1" t="e">
        <f t="shared" si="12"/>
        <v>#N/A</v>
      </c>
    </row>
    <row r="61" spans="25:28" x14ac:dyDescent="0.25">
      <c r="Y61" s="1" t="str">
        <f>+IF(OR(AND('KATKILI İŞLEMLER'!$D$4="BİREYSEL",'KATKI PAYI'!U61&lt;&gt;0),AND('KATKILI İŞLEMLER'!$D$4="TİCARİ",'KATKI PAYI'!V61&lt;&gt;0)),'KATKI PAYI'!B61,"")</f>
        <v/>
      </c>
      <c r="Z61" s="1" t="str">
        <f>+IF(COUNTIF(Y$2:Y61,Y61)=1,Y61,"")</f>
        <v/>
      </c>
      <c r="AA61" s="1" t="str">
        <f t="array" ref="AA61">+IFERROR(INDEX(Z:Z,SMALL(IF(Z$2:Z$96&lt;&gt;"",ROW(Z$2:Z$96)),ROW(60:60))),"")</f>
        <v/>
      </c>
      <c r="AB61" s="1" t="e">
        <f t="shared" si="12"/>
        <v>#N/A</v>
      </c>
    </row>
    <row r="62" spans="25:28" x14ac:dyDescent="0.25">
      <c r="Y62" s="1" t="str">
        <f>+IF(OR(AND('KATKILI İŞLEMLER'!$D$4="BİREYSEL",'KATKI PAYI'!U62&lt;&gt;0),AND('KATKILI İŞLEMLER'!$D$4="TİCARİ",'KATKI PAYI'!V62&lt;&gt;0)),'KATKI PAYI'!B62,"")</f>
        <v/>
      </c>
      <c r="Z62" s="1" t="str">
        <f>+IF(COUNTIF(Y$2:Y62,Y62)=1,Y62,"")</f>
        <v/>
      </c>
      <c r="AA62" s="1" t="str">
        <f t="array" ref="AA62">+IFERROR(INDEX(Z:Z,SMALL(IF(Z$2:Z$96&lt;&gt;"",ROW(Z$2:Z$96)),ROW(61:61))),"")</f>
        <v/>
      </c>
      <c r="AB62" s="1" t="e">
        <f t="shared" si="12"/>
        <v>#N/A</v>
      </c>
    </row>
    <row r="63" spans="25:28" x14ac:dyDescent="0.25">
      <c r="Y63" s="1" t="str">
        <f>+IF(OR(AND('KATKILI İŞLEMLER'!$D$4="BİREYSEL",'KATKI PAYI'!U63&lt;&gt;0),AND('KATKILI İŞLEMLER'!$D$4="TİCARİ",'KATKI PAYI'!V63&lt;&gt;0)),'KATKI PAYI'!B63,"")</f>
        <v/>
      </c>
      <c r="Z63" s="1" t="str">
        <f>+IF(COUNTIF(Y$2:Y63,Y63)=1,Y63,"")</f>
        <v/>
      </c>
      <c r="AA63" s="1" t="str">
        <f t="array" ref="AA63">+IFERROR(INDEX(Z:Z,SMALL(IF(Z$2:Z$96&lt;&gt;"",ROW(Z$2:Z$96)),ROW(62:62))),"")</f>
        <v/>
      </c>
      <c r="AB63" s="1" t="e">
        <f t="shared" ref="AB63:AB111" si="25">+IF(AA63&lt;&gt;"",AA63,NA())</f>
        <v>#N/A</v>
      </c>
    </row>
    <row r="64" spans="25:28" x14ac:dyDescent="0.25">
      <c r="Y64" s="1" t="str">
        <f>+IF(OR(AND('KATKILI İŞLEMLER'!$D$4="BİREYSEL",'KATKI PAYI'!U64&lt;&gt;0),AND('KATKILI İŞLEMLER'!$D$4="TİCARİ",'KATKI PAYI'!V64&lt;&gt;0)),'KATKI PAYI'!B64,"")</f>
        <v/>
      </c>
      <c r="Z64" s="1" t="str">
        <f>+IF(COUNTIF(Y$2:Y64,Y64)=1,Y64,"")</f>
        <v/>
      </c>
      <c r="AA64" s="1" t="str">
        <f t="array" ref="AA64">+IFERROR(INDEX(Z:Z,SMALL(IF(Z$2:Z$96&lt;&gt;"",ROW(Z$2:Z$96)),ROW(63:63))),"")</f>
        <v/>
      </c>
      <c r="AB64" s="1" t="e">
        <f t="shared" si="25"/>
        <v>#N/A</v>
      </c>
    </row>
    <row r="65" spans="25:28" x14ac:dyDescent="0.25">
      <c r="Y65" s="1" t="str">
        <f>+IF(OR(AND('KATKILI İŞLEMLER'!$D$4="BİREYSEL",'KATKI PAYI'!U65&lt;&gt;0),AND('KATKILI İŞLEMLER'!$D$4="TİCARİ",'KATKI PAYI'!V65&lt;&gt;0)),'KATKI PAYI'!B65,"")</f>
        <v/>
      </c>
      <c r="Z65" s="1" t="str">
        <f>+IF(COUNTIF(Y$2:Y65,Y65)=1,Y65,"")</f>
        <v/>
      </c>
      <c r="AA65" s="1" t="str">
        <f t="array" ref="AA65">+IFERROR(INDEX(Z:Z,SMALL(IF(Z$2:Z$96&lt;&gt;"",ROW(Z$2:Z$96)),ROW(64:64))),"")</f>
        <v/>
      </c>
      <c r="AB65" s="1" t="e">
        <f t="shared" si="25"/>
        <v>#N/A</v>
      </c>
    </row>
    <row r="66" spans="25:28" x14ac:dyDescent="0.25">
      <c r="Y66" s="1" t="str">
        <f>+IF(OR(AND('KATKILI İŞLEMLER'!$D$4="BİREYSEL",'KATKI PAYI'!U66&lt;&gt;0),AND('KATKILI İŞLEMLER'!$D$4="TİCARİ",'KATKI PAYI'!V66&lt;&gt;0)),'KATKI PAYI'!B66,"")</f>
        <v/>
      </c>
      <c r="Z66" s="1" t="str">
        <f>+IF(COUNTIF(Y$2:Y66,Y66)=1,Y66,"")</f>
        <v/>
      </c>
      <c r="AA66" s="1" t="str">
        <f t="array" ref="AA66">+IFERROR(INDEX(Z:Z,SMALL(IF(Z$2:Z$96&lt;&gt;"",ROW(Z$2:Z$96)),ROW(65:65))),"")</f>
        <v/>
      </c>
      <c r="AB66" s="1" t="e">
        <f t="shared" si="25"/>
        <v>#N/A</v>
      </c>
    </row>
    <row r="67" spans="25:28" x14ac:dyDescent="0.25">
      <c r="Y67" s="1" t="str">
        <f>+IF(OR(AND('KATKILI İŞLEMLER'!$D$4="BİREYSEL",'KATKI PAYI'!U67&lt;&gt;0),AND('KATKILI İŞLEMLER'!$D$4="TİCARİ",'KATKI PAYI'!V67&lt;&gt;0)),'KATKI PAYI'!B67,"")</f>
        <v/>
      </c>
      <c r="Z67" s="1" t="str">
        <f>+IF(COUNTIF(Y$2:Y67,Y67)=1,Y67,"")</f>
        <v/>
      </c>
      <c r="AA67" s="1" t="str">
        <f t="array" ref="AA67">+IFERROR(INDEX(Z:Z,SMALL(IF(Z$2:Z$96&lt;&gt;"",ROW(Z$2:Z$96)),ROW(66:66))),"")</f>
        <v/>
      </c>
      <c r="AB67" s="1" t="e">
        <f t="shared" si="25"/>
        <v>#N/A</v>
      </c>
    </row>
    <row r="68" spans="25:28" x14ac:dyDescent="0.25">
      <c r="Y68" s="1" t="str">
        <f>+IF(OR(AND('KATKILI İŞLEMLER'!$D$4="BİREYSEL",'KATKI PAYI'!U68&lt;&gt;0),AND('KATKILI İŞLEMLER'!$D$4="TİCARİ",'KATKI PAYI'!V68&lt;&gt;0)),'KATKI PAYI'!B68,"")</f>
        <v/>
      </c>
      <c r="Z68" s="1" t="str">
        <f>+IF(COUNTIF(Y$2:Y68,Y68)=1,Y68,"")</f>
        <v/>
      </c>
      <c r="AA68" s="1" t="str">
        <f t="array" ref="AA68">+IFERROR(INDEX(Z:Z,SMALL(IF(Z$2:Z$96&lt;&gt;"",ROW(Z$2:Z$96)),ROW(67:67))),"")</f>
        <v/>
      </c>
      <c r="AB68" s="1" t="e">
        <f t="shared" si="25"/>
        <v>#N/A</v>
      </c>
    </row>
    <row r="69" spans="25:28" x14ac:dyDescent="0.25">
      <c r="Y69" s="1" t="str">
        <f>+IF(OR(AND('KATKILI İŞLEMLER'!$D$4="BİREYSEL",'KATKI PAYI'!U69&lt;&gt;0),AND('KATKILI İŞLEMLER'!$D$4="TİCARİ",'KATKI PAYI'!V69&lt;&gt;0)),'KATKI PAYI'!B69,"")</f>
        <v/>
      </c>
      <c r="Z69" s="1" t="str">
        <f>+IF(COUNTIF(Y$2:Y69,Y69)=1,Y69,"")</f>
        <v/>
      </c>
      <c r="AA69" s="1" t="str">
        <f t="array" ref="AA69">+IFERROR(INDEX(Z:Z,SMALL(IF(Z$2:Z$96&lt;&gt;"",ROW(Z$2:Z$96)),ROW(68:68))),"")</f>
        <v/>
      </c>
      <c r="AB69" s="1" t="e">
        <f t="shared" si="25"/>
        <v>#N/A</v>
      </c>
    </row>
    <row r="70" spans="25:28" x14ac:dyDescent="0.25">
      <c r="Y70" s="1" t="str">
        <f>+IF(OR(AND('KATKILI İŞLEMLER'!$D$4="BİREYSEL",'KATKI PAYI'!U70&lt;&gt;0),AND('KATKILI İŞLEMLER'!$D$4="TİCARİ",'KATKI PAYI'!V70&lt;&gt;0)),'KATKI PAYI'!B70,"")</f>
        <v/>
      </c>
      <c r="Z70" s="1" t="str">
        <f>+IF(COUNTIF(Y$2:Y70,Y70)=1,Y70,"")</f>
        <v/>
      </c>
      <c r="AA70" s="1" t="str">
        <f t="array" ref="AA70">+IFERROR(INDEX(Z:Z,SMALL(IF(Z$2:Z$96&lt;&gt;"",ROW(Z$2:Z$96)),ROW(69:69))),"")</f>
        <v/>
      </c>
      <c r="AB70" s="1" t="e">
        <f t="shared" si="25"/>
        <v>#N/A</v>
      </c>
    </row>
    <row r="71" spans="25:28" x14ac:dyDescent="0.25">
      <c r="Y71" s="1" t="str">
        <f>+IF(OR(AND('KATKILI İŞLEMLER'!$D$4="BİREYSEL",'KATKI PAYI'!U71&lt;&gt;0),AND('KATKILI İŞLEMLER'!$D$4="TİCARİ",'KATKI PAYI'!V71&lt;&gt;0)),'KATKI PAYI'!B71,"")</f>
        <v/>
      </c>
      <c r="Z71" s="1" t="str">
        <f>+IF(COUNTIF(Y$2:Y71,Y71)=1,Y71,"")</f>
        <v/>
      </c>
      <c r="AA71" s="1" t="str">
        <f t="array" ref="AA71">+IFERROR(INDEX(Z:Z,SMALL(IF(Z$2:Z$96&lt;&gt;"",ROW(Z$2:Z$96)),ROW(70:70))),"")</f>
        <v/>
      </c>
      <c r="AB71" s="1" t="e">
        <f t="shared" si="25"/>
        <v>#N/A</v>
      </c>
    </row>
    <row r="72" spans="25:28" x14ac:dyDescent="0.25">
      <c r="Y72" s="1" t="str">
        <f>+IF(OR(AND('KATKILI İŞLEMLER'!$D$4="BİREYSEL",'KATKI PAYI'!U72&lt;&gt;0),AND('KATKILI İŞLEMLER'!$D$4="TİCARİ",'KATKI PAYI'!V72&lt;&gt;0)),'KATKI PAYI'!B72,"")</f>
        <v/>
      </c>
      <c r="Z72" s="1" t="str">
        <f>+IF(COUNTIF(Y$2:Y72,Y72)=1,Y72,"")</f>
        <v/>
      </c>
      <c r="AA72" s="1" t="str">
        <f t="array" ref="AA72">+IFERROR(INDEX(Z:Z,SMALL(IF(Z$2:Z$96&lt;&gt;"",ROW(Z$2:Z$96)),ROW(71:71))),"")</f>
        <v/>
      </c>
      <c r="AB72" s="1" t="e">
        <f t="shared" si="25"/>
        <v>#N/A</v>
      </c>
    </row>
    <row r="73" spans="25:28" x14ac:dyDescent="0.25">
      <c r="Y73" s="1" t="str">
        <f>+IF(OR(AND('KATKILI İŞLEMLER'!$D$4="BİREYSEL",'KATKI PAYI'!U73&lt;&gt;0),AND('KATKILI İŞLEMLER'!$D$4="TİCARİ",'KATKI PAYI'!V73&lt;&gt;0)),'KATKI PAYI'!B73,"")</f>
        <v/>
      </c>
      <c r="Z73" s="1" t="str">
        <f>+IF(COUNTIF(Y$2:Y73,Y73)=1,Y73,"")</f>
        <v/>
      </c>
      <c r="AA73" s="1" t="str">
        <f t="array" ref="AA73">+IFERROR(INDEX(Z:Z,SMALL(IF(Z$2:Z$96&lt;&gt;"",ROW(Z$2:Z$96)),ROW(72:72))),"")</f>
        <v/>
      </c>
      <c r="AB73" s="1" t="e">
        <f t="shared" si="25"/>
        <v>#N/A</v>
      </c>
    </row>
    <row r="74" spans="25:28" x14ac:dyDescent="0.25">
      <c r="Y74" s="1" t="str">
        <f>+IF(OR(AND('KATKILI İŞLEMLER'!$D$4="BİREYSEL",'KATKI PAYI'!U74&lt;&gt;0),AND('KATKILI İŞLEMLER'!$D$4="TİCARİ",'KATKI PAYI'!V74&lt;&gt;0)),'KATKI PAYI'!B74,"")</f>
        <v/>
      </c>
      <c r="Z74" s="1" t="str">
        <f>+IF(COUNTIF(Y$2:Y74,Y74)=1,Y74,"")</f>
        <v/>
      </c>
      <c r="AA74" s="1" t="str">
        <f t="array" ref="AA74">+IFERROR(INDEX(Z:Z,SMALL(IF(Z$2:Z$96&lt;&gt;"",ROW(Z$2:Z$96)),ROW(73:73))),"")</f>
        <v/>
      </c>
      <c r="AB74" s="1" t="e">
        <f t="shared" si="25"/>
        <v>#N/A</v>
      </c>
    </row>
    <row r="75" spans="25:28" x14ac:dyDescent="0.25">
      <c r="Y75" s="1" t="str">
        <f>+IF(OR(AND('KATKILI İŞLEMLER'!$D$4="BİREYSEL",'KATKI PAYI'!U75&lt;&gt;0),AND('KATKILI İŞLEMLER'!$D$4="TİCARİ",'KATKI PAYI'!V75&lt;&gt;0)),'KATKI PAYI'!B75,"")</f>
        <v/>
      </c>
      <c r="Z75" s="1" t="str">
        <f>+IF(COUNTIF(Y$2:Y75,Y75)=1,Y75,"")</f>
        <v/>
      </c>
      <c r="AA75" s="1" t="str">
        <f t="array" ref="AA75">+IFERROR(INDEX(Z:Z,SMALL(IF(Z$2:Z$96&lt;&gt;"",ROW(Z$2:Z$96)),ROW(74:74))),"")</f>
        <v/>
      </c>
      <c r="AB75" s="1" t="e">
        <f t="shared" si="25"/>
        <v>#N/A</v>
      </c>
    </row>
    <row r="76" spans="25:28" x14ac:dyDescent="0.25">
      <c r="Y76" s="1" t="str">
        <f>+IF(OR(AND('KATKILI İŞLEMLER'!$D$4="BİREYSEL",'KATKI PAYI'!U76&lt;&gt;0),AND('KATKILI İŞLEMLER'!$D$4="TİCARİ",'KATKI PAYI'!V76&lt;&gt;0)),'KATKI PAYI'!B76,"")</f>
        <v/>
      </c>
      <c r="Z76" s="1" t="str">
        <f>+IF(COUNTIF(Y$2:Y76,Y76)=1,Y76,"")</f>
        <v/>
      </c>
      <c r="AA76" s="1" t="str">
        <f t="array" ref="AA76">+IFERROR(INDEX(Z:Z,SMALL(IF(Z$2:Z$96&lt;&gt;"",ROW(Z$2:Z$96)),ROW(75:75))),"")</f>
        <v/>
      </c>
      <c r="AB76" s="1" t="e">
        <f t="shared" si="25"/>
        <v>#N/A</v>
      </c>
    </row>
    <row r="77" spans="25:28" x14ac:dyDescent="0.25">
      <c r="Y77" s="1" t="str">
        <f>+IF(OR(AND('KATKILI İŞLEMLER'!$D$4="BİREYSEL",'KATKI PAYI'!U77&lt;&gt;0),AND('KATKILI İŞLEMLER'!$D$4="TİCARİ",'KATKI PAYI'!V77&lt;&gt;0)),'KATKI PAYI'!B77,"")</f>
        <v/>
      </c>
      <c r="Z77" s="1" t="str">
        <f>+IF(COUNTIF(Y$2:Y77,Y77)=1,Y77,"")</f>
        <v/>
      </c>
      <c r="AA77" s="1" t="str">
        <f t="array" ref="AA77">+IFERROR(INDEX(Z:Z,SMALL(IF(Z$2:Z$96&lt;&gt;"",ROW(Z$2:Z$96)),ROW(76:76))),"")</f>
        <v/>
      </c>
      <c r="AB77" s="1" t="e">
        <f t="shared" si="25"/>
        <v>#N/A</v>
      </c>
    </row>
    <row r="78" spans="25:28" x14ac:dyDescent="0.25">
      <c r="Y78" s="1" t="str">
        <f>+IF(OR(AND('KATKILI İŞLEMLER'!$D$4="BİREYSEL",'KATKI PAYI'!U78&lt;&gt;0),AND('KATKILI İŞLEMLER'!$D$4="TİCARİ",'KATKI PAYI'!V78&lt;&gt;0)),'KATKI PAYI'!B78,"")</f>
        <v/>
      </c>
      <c r="Z78" s="1" t="str">
        <f>+IF(COUNTIF(Y$2:Y78,Y78)=1,Y78,"")</f>
        <v/>
      </c>
      <c r="AA78" s="1" t="str">
        <f t="array" ref="AA78">+IFERROR(INDEX(Z:Z,SMALL(IF(Z$2:Z$96&lt;&gt;"",ROW(Z$2:Z$96)),ROW(77:77))),"")</f>
        <v/>
      </c>
      <c r="AB78" s="1" t="e">
        <f t="shared" si="25"/>
        <v>#N/A</v>
      </c>
    </row>
    <row r="79" spans="25:28" x14ac:dyDescent="0.25">
      <c r="Y79" s="1" t="str">
        <f>+IF(OR(AND('KATKILI İŞLEMLER'!$D$4="BİREYSEL",'KATKI PAYI'!U79&lt;&gt;0),AND('KATKILI İŞLEMLER'!$D$4="TİCARİ",'KATKI PAYI'!V79&lt;&gt;0)),'KATKI PAYI'!B79,"")</f>
        <v/>
      </c>
      <c r="Z79" s="1" t="str">
        <f>+IF(COUNTIF(Y$2:Y79,Y79)=1,Y79,"")</f>
        <v/>
      </c>
      <c r="AA79" s="1" t="str">
        <f t="array" ref="AA79">+IFERROR(INDEX(Z:Z,SMALL(IF(Z$2:Z$96&lt;&gt;"",ROW(Z$2:Z$96)),ROW(78:78))),"")</f>
        <v/>
      </c>
      <c r="AB79" s="1" t="e">
        <f t="shared" si="25"/>
        <v>#N/A</v>
      </c>
    </row>
    <row r="80" spans="25:28" x14ac:dyDescent="0.25">
      <c r="Y80" s="1" t="str">
        <f>+IF(OR(AND('KATKILI İŞLEMLER'!$D$4="BİREYSEL",'KATKI PAYI'!U80&lt;&gt;0),AND('KATKILI İŞLEMLER'!$D$4="TİCARİ",'KATKI PAYI'!V80&lt;&gt;0)),'KATKI PAYI'!B80,"")</f>
        <v/>
      </c>
      <c r="Z80" s="1" t="str">
        <f>+IF(COUNTIF(Y$2:Y80,Y80)=1,Y80,"")</f>
        <v/>
      </c>
      <c r="AA80" s="1" t="str">
        <f t="array" ref="AA80">+IFERROR(INDEX(Z:Z,SMALL(IF(Z$2:Z$96&lt;&gt;"",ROW(Z$2:Z$96)),ROW(79:79))),"")</f>
        <v/>
      </c>
      <c r="AB80" s="1" t="e">
        <f t="shared" si="25"/>
        <v>#N/A</v>
      </c>
    </row>
    <row r="81" spans="25:28" x14ac:dyDescent="0.25">
      <c r="Y81" s="1" t="str">
        <f>+IF(OR(AND('KATKILI İŞLEMLER'!$D$4="BİREYSEL",'KATKI PAYI'!U81&lt;&gt;0),AND('KATKILI İŞLEMLER'!$D$4="TİCARİ",'KATKI PAYI'!V81&lt;&gt;0)),'KATKI PAYI'!B81,"")</f>
        <v/>
      </c>
      <c r="Z81" s="1" t="str">
        <f>+IF(COUNTIF(Y$2:Y81,Y81)=1,Y81,"")</f>
        <v/>
      </c>
      <c r="AA81" s="1" t="str">
        <f t="array" ref="AA81">+IFERROR(INDEX(Z:Z,SMALL(IF(Z$2:Z$96&lt;&gt;"",ROW(Z$2:Z$96)),ROW(80:80))),"")</f>
        <v/>
      </c>
      <c r="AB81" s="1" t="e">
        <f t="shared" si="25"/>
        <v>#N/A</v>
      </c>
    </row>
    <row r="82" spans="25:28" x14ac:dyDescent="0.25">
      <c r="Y82" s="1" t="str">
        <f>+IF(OR(AND('KATKILI İŞLEMLER'!$D$4="BİREYSEL",'KATKI PAYI'!U82&lt;&gt;0),AND('KATKILI İŞLEMLER'!$D$4="TİCARİ",'KATKI PAYI'!V82&lt;&gt;0)),'KATKI PAYI'!B82,"")</f>
        <v/>
      </c>
      <c r="Z82" s="1" t="str">
        <f>+IF(COUNTIF(Y$2:Y82,Y82)=1,Y82,"")</f>
        <v/>
      </c>
      <c r="AA82" s="1" t="str">
        <f t="array" ref="AA82">+IFERROR(INDEX(Z:Z,SMALL(IF(Z$2:Z$96&lt;&gt;"",ROW(Z$2:Z$96)),ROW(81:81))),"")</f>
        <v/>
      </c>
      <c r="AB82" s="1" t="e">
        <f t="shared" si="25"/>
        <v>#N/A</v>
      </c>
    </row>
    <row r="83" spans="25:28" x14ac:dyDescent="0.25">
      <c r="Y83" s="1" t="str">
        <f>+IF(OR(AND('KATKILI İŞLEMLER'!$D$4="BİREYSEL",'KATKI PAYI'!U83&lt;&gt;0),AND('KATKILI İŞLEMLER'!$D$4="TİCARİ",'KATKI PAYI'!V83&lt;&gt;0)),'KATKI PAYI'!B83,"")</f>
        <v/>
      </c>
      <c r="Z83" s="1" t="str">
        <f>+IF(COUNTIF(Y$2:Y83,Y83)=1,Y83,"")</f>
        <v/>
      </c>
      <c r="AA83" s="1" t="str">
        <f t="array" ref="AA83">+IFERROR(INDEX(Z:Z,SMALL(IF(Z$2:Z$96&lt;&gt;"",ROW(Z$2:Z$96)),ROW(82:82))),"")</f>
        <v/>
      </c>
      <c r="AB83" s="1" t="e">
        <f t="shared" si="25"/>
        <v>#N/A</v>
      </c>
    </row>
    <row r="84" spans="25:28" x14ac:dyDescent="0.25">
      <c r="Y84" s="1" t="str">
        <f>+IF(OR(AND('KATKILI İŞLEMLER'!$D$4="BİREYSEL",'KATKI PAYI'!U84&lt;&gt;0),AND('KATKILI İŞLEMLER'!$D$4="TİCARİ",'KATKI PAYI'!V84&lt;&gt;0)),'KATKI PAYI'!B84,"")</f>
        <v/>
      </c>
      <c r="Z84" s="1" t="str">
        <f>+IF(COUNTIF(Y$2:Y84,Y84)=1,Y84,"")</f>
        <v/>
      </c>
      <c r="AA84" s="1" t="str">
        <f t="array" ref="AA84">+IFERROR(INDEX(Z:Z,SMALL(IF(Z$2:Z$96&lt;&gt;"",ROW(Z$2:Z$96)),ROW(83:83))),"")</f>
        <v/>
      </c>
      <c r="AB84" s="1" t="e">
        <f t="shared" si="25"/>
        <v>#N/A</v>
      </c>
    </row>
    <row r="85" spans="25:28" x14ac:dyDescent="0.25">
      <c r="Y85" s="1" t="str">
        <f>+IF(OR(AND('KATKILI İŞLEMLER'!$D$4="BİREYSEL",'KATKI PAYI'!U85&lt;&gt;0),AND('KATKILI İŞLEMLER'!$D$4="TİCARİ",'KATKI PAYI'!V85&lt;&gt;0)),'KATKI PAYI'!B85,"")</f>
        <v/>
      </c>
      <c r="Z85" s="1" t="str">
        <f>+IF(COUNTIF(Y$2:Y85,Y85)=1,Y85,"")</f>
        <v/>
      </c>
      <c r="AA85" s="1" t="str">
        <f t="array" ref="AA85">+IFERROR(INDEX(Z:Z,SMALL(IF(Z$2:Z$96&lt;&gt;"",ROW(Z$2:Z$96)),ROW(84:84))),"")</f>
        <v/>
      </c>
      <c r="AB85" s="1" t="e">
        <f t="shared" si="25"/>
        <v>#N/A</v>
      </c>
    </row>
    <row r="86" spans="25:28" x14ac:dyDescent="0.25">
      <c r="Y86" s="1" t="str">
        <f>+IF(OR(AND('KATKILI İŞLEMLER'!$D$4="BİREYSEL",'KATKI PAYI'!U86&lt;&gt;0),AND('KATKILI İŞLEMLER'!$D$4="TİCARİ",'KATKI PAYI'!V86&lt;&gt;0)),'KATKI PAYI'!B86,"")</f>
        <v/>
      </c>
      <c r="Z86" s="1" t="str">
        <f>+IF(COUNTIF(Y$2:Y86,Y86)=1,Y86,"")</f>
        <v/>
      </c>
      <c r="AA86" s="1" t="str">
        <f t="array" ref="AA86">+IFERROR(INDEX(Z:Z,SMALL(IF(Z$2:Z$96&lt;&gt;"",ROW(Z$2:Z$96)),ROW(85:85))),"")</f>
        <v/>
      </c>
      <c r="AB86" s="1" t="e">
        <f t="shared" si="25"/>
        <v>#N/A</v>
      </c>
    </row>
    <row r="87" spans="25:28" x14ac:dyDescent="0.25">
      <c r="Y87" s="1" t="str">
        <f>+IF(OR(AND('KATKILI İŞLEMLER'!$D$4="BİREYSEL",'KATKI PAYI'!U87&lt;&gt;0),AND('KATKILI İŞLEMLER'!$D$4="TİCARİ",'KATKI PAYI'!V87&lt;&gt;0)),'KATKI PAYI'!B87,"")</f>
        <v/>
      </c>
      <c r="Z87" s="1" t="str">
        <f>+IF(COUNTIF(Y$2:Y87,Y87)=1,Y87,"")</f>
        <v/>
      </c>
      <c r="AA87" s="1" t="str">
        <f t="array" ref="AA87">+IFERROR(INDEX(Z:Z,SMALL(IF(Z$2:Z$96&lt;&gt;"",ROW(Z$2:Z$96)),ROW(86:86))),"")</f>
        <v/>
      </c>
      <c r="AB87" s="1" t="e">
        <f t="shared" si="25"/>
        <v>#N/A</v>
      </c>
    </row>
    <row r="88" spans="25:28" x14ac:dyDescent="0.25">
      <c r="Y88" s="1" t="str">
        <f>+IF(OR(AND('KATKILI İŞLEMLER'!$D$4="BİREYSEL",'KATKI PAYI'!U88&lt;&gt;0),AND('KATKILI İŞLEMLER'!$D$4="TİCARİ",'KATKI PAYI'!V88&lt;&gt;0)),'KATKI PAYI'!B88,"")</f>
        <v/>
      </c>
      <c r="Z88" s="1" t="str">
        <f>+IF(COUNTIF(Y$2:Y88,Y88)=1,Y88,"")</f>
        <v/>
      </c>
      <c r="AA88" s="1" t="str">
        <f t="array" ref="AA88">+IFERROR(INDEX(Z:Z,SMALL(IF(Z$2:Z$96&lt;&gt;"",ROW(Z$2:Z$96)),ROW(87:87))),"")</f>
        <v/>
      </c>
      <c r="AB88" s="1" t="e">
        <f t="shared" si="25"/>
        <v>#N/A</v>
      </c>
    </row>
    <row r="89" spans="25:28" x14ac:dyDescent="0.25">
      <c r="Y89" s="1" t="str">
        <f>+IF(OR(AND('KATKILI İŞLEMLER'!$D$4="BİREYSEL",'KATKI PAYI'!U89&lt;&gt;0),AND('KATKILI İŞLEMLER'!$D$4="TİCARİ",'KATKI PAYI'!V89&lt;&gt;0)),'KATKI PAYI'!B89,"")</f>
        <v/>
      </c>
      <c r="Z89" s="1" t="str">
        <f>+IF(COUNTIF(Y$2:Y89,Y89)=1,Y89,"")</f>
        <v/>
      </c>
      <c r="AA89" s="1" t="str">
        <f t="array" ref="AA89">+IFERROR(INDEX(Z:Z,SMALL(IF(Z$2:Z$96&lt;&gt;"",ROW(Z$2:Z$96)),ROW(88:88))),"")</f>
        <v/>
      </c>
      <c r="AB89" s="1" t="e">
        <f t="shared" si="25"/>
        <v>#N/A</v>
      </c>
    </row>
    <row r="90" spans="25:28" x14ac:dyDescent="0.25">
      <c r="Y90" s="1" t="str">
        <f>+IF(OR(AND('KATKILI İŞLEMLER'!$D$4="BİREYSEL",'KATKI PAYI'!U90&lt;&gt;0),AND('KATKILI İŞLEMLER'!$D$4="TİCARİ",'KATKI PAYI'!V90&lt;&gt;0)),'KATKI PAYI'!B90,"")</f>
        <v/>
      </c>
      <c r="Z90" s="1" t="str">
        <f>+IF(COUNTIF(Y$2:Y90,Y90)=1,Y90,"")</f>
        <v/>
      </c>
      <c r="AA90" s="1" t="str">
        <f t="array" ref="AA90">+IFERROR(INDEX(Z:Z,SMALL(IF(Z$2:Z$96&lt;&gt;"",ROW(Z$2:Z$96)),ROW(89:89))),"")</f>
        <v/>
      </c>
      <c r="AB90" s="1" t="e">
        <f t="shared" si="25"/>
        <v>#N/A</v>
      </c>
    </row>
    <row r="91" spans="25:28" x14ac:dyDescent="0.25">
      <c r="Y91" s="1" t="str">
        <f>+IF(OR(AND('KATKILI İŞLEMLER'!$D$4="BİREYSEL",'KATKI PAYI'!U91&lt;&gt;0),AND('KATKILI İŞLEMLER'!$D$4="TİCARİ",'KATKI PAYI'!V91&lt;&gt;0)),'KATKI PAYI'!B91,"")</f>
        <v/>
      </c>
      <c r="Z91" s="1" t="str">
        <f>+IF(COUNTIF(Y$2:Y91,Y91)=1,Y91,"")</f>
        <v/>
      </c>
      <c r="AA91" s="1" t="str">
        <f t="array" ref="AA91">+IFERROR(INDEX(Z:Z,SMALL(IF(Z$2:Z$96&lt;&gt;"",ROW(Z$2:Z$96)),ROW(90:90))),"")</f>
        <v/>
      </c>
      <c r="AB91" s="1" t="e">
        <f t="shared" si="25"/>
        <v>#N/A</v>
      </c>
    </row>
    <row r="92" spans="25:28" x14ac:dyDescent="0.25">
      <c r="Y92" s="1" t="str">
        <f>+IF(OR(AND('KATKILI İŞLEMLER'!$D$4="BİREYSEL",'KATKI PAYI'!U92&lt;&gt;0),AND('KATKILI İŞLEMLER'!$D$4="TİCARİ",'KATKI PAYI'!V92&lt;&gt;0)),'KATKI PAYI'!B92,"")</f>
        <v/>
      </c>
      <c r="Z92" s="1" t="str">
        <f>+IF(COUNTIF(Y$2:Y92,Y92)=1,Y92,"")</f>
        <v/>
      </c>
      <c r="AA92" s="1" t="str">
        <f t="array" ref="AA92">+IFERROR(INDEX(Z:Z,SMALL(IF(Z$2:Z$96&lt;&gt;"",ROW(Z$2:Z$96)),ROW(91:91))),"")</f>
        <v/>
      </c>
      <c r="AB92" s="1" t="e">
        <f t="shared" si="25"/>
        <v>#N/A</v>
      </c>
    </row>
    <row r="93" spans="25:28" x14ac:dyDescent="0.25">
      <c r="Y93" s="1" t="str">
        <f>+IF(OR(AND('KATKILI İŞLEMLER'!$D$4="BİREYSEL",'KATKI PAYI'!U93&lt;&gt;0),AND('KATKILI İŞLEMLER'!$D$4="TİCARİ",'KATKI PAYI'!V93&lt;&gt;0)),'KATKI PAYI'!B93,"")</f>
        <v/>
      </c>
      <c r="Z93" s="1" t="str">
        <f>+IF(COUNTIF(Y$2:Y93,Y93)=1,Y93,"")</f>
        <v/>
      </c>
      <c r="AA93" s="1" t="str">
        <f t="array" ref="AA93">+IFERROR(INDEX(Z:Z,SMALL(IF(Z$2:Z$96&lt;&gt;"",ROW(Z$2:Z$96)),ROW(92:92))),"")</f>
        <v/>
      </c>
      <c r="AB93" s="1" t="e">
        <f t="shared" si="25"/>
        <v>#N/A</v>
      </c>
    </row>
    <row r="94" spans="25:28" x14ac:dyDescent="0.25">
      <c r="Y94" s="1" t="str">
        <f>+IF(OR(AND('KATKILI İŞLEMLER'!$D$4="BİREYSEL",'KATKI PAYI'!U94&lt;&gt;0),AND('KATKILI İŞLEMLER'!$D$4="TİCARİ",'KATKI PAYI'!V94&lt;&gt;0)),'KATKI PAYI'!B94,"")</f>
        <v/>
      </c>
      <c r="Z94" s="1" t="str">
        <f>+IF(COUNTIF(Y$2:Y94,Y94)=1,Y94,"")</f>
        <v/>
      </c>
      <c r="AA94" s="1" t="str">
        <f t="array" ref="AA94">+IFERROR(INDEX(Z:Z,SMALL(IF(Z$2:Z$96&lt;&gt;"",ROW(Z$2:Z$96)),ROW(93:93))),"")</f>
        <v/>
      </c>
      <c r="AB94" s="1" t="e">
        <f t="shared" si="25"/>
        <v>#N/A</v>
      </c>
    </row>
    <row r="95" spans="25:28" x14ac:dyDescent="0.25">
      <c r="Y95" s="1" t="str">
        <f>+IF(OR(AND('KATKILI İŞLEMLER'!$D$4="BİREYSEL",'KATKI PAYI'!U95&lt;&gt;0),AND('KATKILI İŞLEMLER'!$D$4="TİCARİ",'KATKI PAYI'!V95&lt;&gt;0)),'KATKI PAYI'!B95,"")</f>
        <v/>
      </c>
      <c r="Z95" s="1" t="str">
        <f>+IF(COUNTIF(Y$2:Y95,Y95)=1,Y95,"")</f>
        <v/>
      </c>
      <c r="AA95" s="1" t="str">
        <f t="array" ref="AA95">+IFERROR(INDEX(Z:Z,SMALL(IF(Z$2:Z$96&lt;&gt;"",ROW(Z$2:Z$96)),ROW(94:94))),"")</f>
        <v/>
      </c>
      <c r="AB95" s="1" t="e">
        <f t="shared" si="25"/>
        <v>#N/A</v>
      </c>
    </row>
    <row r="96" spans="25:28" x14ac:dyDescent="0.25">
      <c r="Y96" s="1" t="str">
        <f>+IF(OR(AND('KATKILI İŞLEMLER'!$D$4="BİREYSEL",'KATKI PAYI'!U96&lt;&gt;0),AND('KATKILI İŞLEMLER'!$D$4="TİCARİ",'KATKI PAYI'!V96&lt;&gt;0)),'KATKI PAYI'!B96,"")</f>
        <v/>
      </c>
      <c r="Z96" s="1" t="str">
        <f>+IF(COUNTIF(Y$2:Y96,Y96)=1,Y96,"")</f>
        <v/>
      </c>
      <c r="AA96" s="1" t="str">
        <f t="array" ref="AA96">+IFERROR(INDEX(Z:Z,SMALL(IF(Z$2:Z$96&lt;&gt;"",ROW(Z$2:Z$96)),ROW(95:95))),"")</f>
        <v/>
      </c>
      <c r="AB96" s="1" t="e">
        <f t="shared" si="25"/>
        <v>#N/A</v>
      </c>
    </row>
    <row r="97" spans="25:28" x14ac:dyDescent="0.25">
      <c r="Y97" s="1" t="str">
        <f>+IF(OR(AND('KATKILI İŞLEMLER'!$D$4="BİREYSEL",'KATKI PAYI'!U97&lt;&gt;0),AND('KATKILI İŞLEMLER'!$D$4="TİCARİ",'KATKI PAYI'!V97&lt;&gt;0)),'KATKI PAYI'!B97,"")</f>
        <v/>
      </c>
      <c r="Z97" s="1" t="str">
        <f>+IF(COUNTIF(Y$2:Y97,Y97)=1,Y97,"")</f>
        <v/>
      </c>
      <c r="AA97" s="1" t="str">
        <f t="array" ref="AA97">+IFERROR(INDEX(Z:Z,SMALL(IF(Z$2:Z$96&lt;&gt;"",ROW(Z$2:Z$96)),ROW(96:96))),"")</f>
        <v/>
      </c>
      <c r="AB97" s="1" t="e">
        <f t="shared" si="25"/>
        <v>#N/A</v>
      </c>
    </row>
    <row r="98" spans="25:28" x14ac:dyDescent="0.25">
      <c r="Y98" s="1" t="str">
        <f>+IF(OR(AND('KATKILI İŞLEMLER'!$D$4="BİREYSEL",'KATKI PAYI'!U98&lt;&gt;0),AND('KATKILI İŞLEMLER'!$D$4="TİCARİ",'KATKI PAYI'!V98&lt;&gt;0)),'KATKI PAYI'!B98,"")</f>
        <v/>
      </c>
      <c r="Z98" s="1" t="str">
        <f>+IF(COUNTIF(Y$2:Y98,Y98)=1,Y98,"")</f>
        <v/>
      </c>
      <c r="AA98" s="1" t="str">
        <f t="array" ref="AA98">+IFERROR(INDEX(Z:Z,SMALL(IF(Z$2:Z$96&lt;&gt;"",ROW(Z$2:Z$96)),ROW(97:97))),"")</f>
        <v/>
      </c>
      <c r="AB98" s="1" t="e">
        <f t="shared" si="25"/>
        <v>#N/A</v>
      </c>
    </row>
    <row r="99" spans="25:28" x14ac:dyDescent="0.25">
      <c r="Y99" s="1" t="str">
        <f>+IF(OR(AND('KATKILI İŞLEMLER'!$D$4="BİREYSEL",'KATKI PAYI'!U99&lt;&gt;0),AND('KATKILI İŞLEMLER'!$D$4="TİCARİ",'KATKI PAYI'!V99&lt;&gt;0)),'KATKI PAYI'!B99,"")</f>
        <v/>
      </c>
      <c r="Z99" s="1" t="str">
        <f>+IF(COUNTIF(Y$2:Y99,Y99)=1,Y99,"")</f>
        <v/>
      </c>
      <c r="AA99" s="1" t="str">
        <f t="array" ref="AA99">+IFERROR(INDEX(Z:Z,SMALL(IF(Z$2:Z$96&lt;&gt;"",ROW(Z$2:Z$96)),ROW(98:98))),"")</f>
        <v/>
      </c>
      <c r="AB99" s="1" t="e">
        <f t="shared" si="25"/>
        <v>#N/A</v>
      </c>
    </row>
    <row r="100" spans="25:28" x14ac:dyDescent="0.25">
      <c r="Y100" s="1" t="str">
        <f>+IF(OR(AND('KATKILI İŞLEMLER'!$D$4="BİREYSEL",'KATKI PAYI'!U100&lt;&gt;0),AND('KATKILI İŞLEMLER'!$D$4="TİCARİ",'KATKI PAYI'!V100&lt;&gt;0)),'KATKI PAYI'!B100,"")</f>
        <v/>
      </c>
      <c r="Z100" s="1" t="str">
        <f>+IF(COUNTIF(Y$2:Y100,Y100)=1,Y100,"")</f>
        <v/>
      </c>
      <c r="AA100" s="1" t="str">
        <f t="array" ref="AA100">+IFERROR(INDEX(Z:Z,SMALL(IF(Z$2:Z$96&lt;&gt;"",ROW(Z$2:Z$96)),ROW(99:99))),"")</f>
        <v/>
      </c>
      <c r="AB100" s="1" t="e">
        <f t="shared" si="25"/>
        <v>#N/A</v>
      </c>
    </row>
    <row r="101" spans="25:28" x14ac:dyDescent="0.25">
      <c r="Y101" s="1" t="str">
        <f>+IF(OR(AND('KATKILI İŞLEMLER'!$D$4="BİREYSEL",'KATKI PAYI'!U101&lt;&gt;0),AND('KATKILI İŞLEMLER'!$D$4="TİCARİ",'KATKI PAYI'!V101&lt;&gt;0)),'KATKI PAYI'!B101,"")</f>
        <v/>
      </c>
      <c r="Z101" s="1" t="str">
        <f>+IF(COUNTIF(Y$2:Y101,Y101)=1,Y101,"")</f>
        <v/>
      </c>
      <c r="AA101" s="1" t="str">
        <f t="array" ref="AA101">+IFERROR(INDEX(Z:Z,SMALL(IF(Z$2:Z$96&lt;&gt;"",ROW(Z$2:Z$96)),ROW(100:100))),"")</f>
        <v/>
      </c>
      <c r="AB101" s="1" t="e">
        <f t="shared" si="25"/>
        <v>#N/A</v>
      </c>
    </row>
    <row r="102" spans="25:28" x14ac:dyDescent="0.25">
      <c r="Y102" s="1" t="str">
        <f>+IF(OR(AND('KATKILI İŞLEMLER'!$D$4="BİREYSEL",'KATKI PAYI'!U102&lt;&gt;0),AND('KATKILI İŞLEMLER'!$D$4="TİCARİ",'KATKI PAYI'!V102&lt;&gt;0)),'KATKI PAYI'!B102,"")</f>
        <v/>
      </c>
      <c r="Z102" s="1" t="str">
        <f>+IF(COUNTIF(Y$2:Y102,Y102)=1,Y102,"")</f>
        <v/>
      </c>
      <c r="AA102" s="1" t="str">
        <f t="array" ref="AA102">+IFERROR(INDEX(Z:Z,SMALL(IF(Z$2:Z$96&lt;&gt;"",ROW(Z$2:Z$96)),ROW(101:101))),"")</f>
        <v/>
      </c>
      <c r="AB102" s="1" t="e">
        <f t="shared" si="25"/>
        <v>#N/A</v>
      </c>
    </row>
    <row r="103" spans="25:28" x14ac:dyDescent="0.25">
      <c r="Y103" s="1" t="str">
        <f>+IF(OR(AND('KATKILI İŞLEMLER'!$D$4="BİREYSEL",'KATKI PAYI'!U103&lt;&gt;0),AND('KATKILI İŞLEMLER'!$D$4="TİCARİ",'KATKI PAYI'!V103&lt;&gt;0)),'KATKI PAYI'!B103,"")</f>
        <v/>
      </c>
      <c r="Z103" s="1" t="str">
        <f>+IF(COUNTIF(Y$2:Y103,Y103)=1,Y103,"")</f>
        <v/>
      </c>
      <c r="AA103" s="1" t="str">
        <f t="array" ref="AA103">+IFERROR(INDEX(Z:Z,SMALL(IF(Z$2:Z$96&lt;&gt;"",ROW(Z$2:Z$96)),ROW(102:102))),"")</f>
        <v/>
      </c>
      <c r="AB103" s="1" t="e">
        <f t="shared" si="25"/>
        <v>#N/A</v>
      </c>
    </row>
    <row r="104" spans="25:28" x14ac:dyDescent="0.25">
      <c r="Y104" s="1" t="str">
        <f>+IF(OR(AND('KATKILI İŞLEMLER'!$D$4="BİREYSEL",'KATKI PAYI'!U104&lt;&gt;0),AND('KATKILI İŞLEMLER'!$D$4="TİCARİ",'KATKI PAYI'!V104&lt;&gt;0)),'KATKI PAYI'!B104,"")</f>
        <v/>
      </c>
      <c r="Z104" s="1" t="str">
        <f>+IF(COUNTIF(Y$2:Y104,Y104)=1,Y104,"")</f>
        <v/>
      </c>
      <c r="AA104" s="1" t="str">
        <f t="array" ref="AA104">+IFERROR(INDEX(Z:Z,SMALL(IF(Z$2:Z$96&lt;&gt;"",ROW(Z$2:Z$96)),ROW(103:103))),"")</f>
        <v/>
      </c>
      <c r="AB104" s="1" t="e">
        <f t="shared" si="25"/>
        <v>#N/A</v>
      </c>
    </row>
    <row r="105" spans="25:28" x14ac:dyDescent="0.25">
      <c r="Y105" s="1" t="str">
        <f>+IF(OR(AND('KATKILI İŞLEMLER'!$D$4="BİREYSEL",'KATKI PAYI'!U105&lt;&gt;0),AND('KATKILI İŞLEMLER'!$D$4="TİCARİ",'KATKI PAYI'!V105&lt;&gt;0)),'KATKI PAYI'!B105,"")</f>
        <v/>
      </c>
      <c r="Z105" s="1" t="str">
        <f>+IF(COUNTIF(Y$2:Y105,Y105)=1,Y105,"")</f>
        <v/>
      </c>
      <c r="AA105" s="1" t="str">
        <f t="array" ref="AA105">+IFERROR(INDEX(Z:Z,SMALL(IF(Z$2:Z$96&lt;&gt;"",ROW(Z$2:Z$96)),ROW(104:104))),"")</f>
        <v/>
      </c>
      <c r="AB105" s="1" t="e">
        <f t="shared" si="25"/>
        <v>#N/A</v>
      </c>
    </row>
    <row r="106" spans="25:28" x14ac:dyDescent="0.25">
      <c r="Y106" s="1" t="str">
        <f>+IF(OR(AND('KATKILI İŞLEMLER'!$D$4="BİREYSEL",'KATKI PAYI'!U106&lt;&gt;0),AND('KATKILI İŞLEMLER'!$D$4="TİCARİ",'KATKI PAYI'!V106&lt;&gt;0)),'KATKI PAYI'!B106,"")</f>
        <v/>
      </c>
      <c r="Z106" s="1" t="str">
        <f>+IF(COUNTIF(Y$2:Y106,Y106)=1,Y106,"")</f>
        <v/>
      </c>
      <c r="AA106" s="1" t="str">
        <f t="array" ref="AA106">+IFERROR(INDEX(Z:Z,SMALL(IF(Z$2:Z$96&lt;&gt;"",ROW(Z$2:Z$96)),ROW(105:105))),"")</f>
        <v/>
      </c>
      <c r="AB106" s="1" t="e">
        <f t="shared" si="25"/>
        <v>#N/A</v>
      </c>
    </row>
    <row r="107" spans="25:28" x14ac:dyDescent="0.25">
      <c r="Y107" s="1" t="str">
        <f>+IF(OR(AND('KATKILI İŞLEMLER'!$D$4="BİREYSEL",'KATKI PAYI'!U107&lt;&gt;0),AND('KATKILI İŞLEMLER'!$D$4="TİCARİ",'KATKI PAYI'!V107&lt;&gt;0)),'KATKI PAYI'!B107,"")</f>
        <v/>
      </c>
      <c r="Z107" s="1" t="str">
        <f>+IF(COUNTIF(Y$2:Y107,Y107)=1,Y107,"")</f>
        <v/>
      </c>
      <c r="AA107" s="1" t="str">
        <f t="array" ref="AA107">+IFERROR(INDEX(Z:Z,SMALL(IF(Z$2:Z$96&lt;&gt;"",ROW(Z$2:Z$96)),ROW(106:106))),"")</f>
        <v/>
      </c>
      <c r="AB107" s="1" t="e">
        <f t="shared" si="25"/>
        <v>#N/A</v>
      </c>
    </row>
    <row r="108" spans="25:28" x14ac:dyDescent="0.25">
      <c r="Y108" s="1" t="str">
        <f>+IF(OR(AND('KATKILI İŞLEMLER'!$D$4="BİREYSEL",'KATKI PAYI'!U108&lt;&gt;0),AND('KATKILI İŞLEMLER'!$D$4="TİCARİ",'KATKI PAYI'!V108&lt;&gt;0)),'KATKI PAYI'!B108,"")</f>
        <v/>
      </c>
      <c r="Z108" s="1" t="str">
        <f>+IF(COUNTIF(Y$2:Y108,Y108)=1,Y108,"")</f>
        <v/>
      </c>
      <c r="AA108" s="1" t="str">
        <f t="array" ref="AA108">+IFERROR(INDEX(Z:Z,SMALL(IF(Z$2:Z$96&lt;&gt;"",ROW(Z$2:Z$96)),ROW(107:107))),"")</f>
        <v/>
      </c>
      <c r="AB108" s="1" t="e">
        <f t="shared" si="25"/>
        <v>#N/A</v>
      </c>
    </row>
    <row r="109" spans="25:28" x14ac:dyDescent="0.25">
      <c r="Y109" s="1" t="str">
        <f>+IF(OR(AND('KATKILI İŞLEMLER'!$D$4="BİREYSEL",'KATKI PAYI'!U109&lt;&gt;0),AND('KATKILI İŞLEMLER'!$D$4="TİCARİ",'KATKI PAYI'!V109&lt;&gt;0)),'KATKI PAYI'!B109,"")</f>
        <v/>
      </c>
      <c r="Z109" s="1" t="str">
        <f>+IF(COUNTIF(Y$2:Y109,Y109)=1,Y109,"")</f>
        <v/>
      </c>
      <c r="AA109" s="1" t="str">
        <f t="array" ref="AA109">+IFERROR(INDEX(Z:Z,SMALL(IF(Z$2:Z$96&lt;&gt;"",ROW(Z$2:Z$96)),ROW(108:108))),"")</f>
        <v/>
      </c>
      <c r="AB109" s="1" t="e">
        <f t="shared" si="25"/>
        <v>#N/A</v>
      </c>
    </row>
    <row r="110" spans="25:28" x14ac:dyDescent="0.25">
      <c r="Y110" s="1" t="str">
        <f>+IF(OR(AND('KATKILI İŞLEMLER'!$D$4="BİREYSEL",'KATKI PAYI'!U110&lt;&gt;0),AND('KATKILI İŞLEMLER'!$D$4="TİCARİ",'KATKI PAYI'!V110&lt;&gt;0)),'KATKI PAYI'!B110,"")</f>
        <v/>
      </c>
      <c r="Z110" s="1" t="str">
        <f>+IF(COUNTIF(Y$2:Y110,Y110)=1,Y110,"")</f>
        <v/>
      </c>
      <c r="AA110" s="1" t="str">
        <f t="array" ref="AA110">+IFERROR(INDEX(Z:Z,SMALL(IF(Z$2:Z$96&lt;&gt;"",ROW(Z$2:Z$96)),ROW(109:109))),"")</f>
        <v/>
      </c>
      <c r="AB110" s="1" t="e">
        <f t="shared" si="25"/>
        <v>#N/A</v>
      </c>
    </row>
    <row r="111" spans="25:28" x14ac:dyDescent="0.25">
      <c r="Y111" s="1" t="str">
        <f>+IF(OR(AND('KATKILI İŞLEMLER'!$D$4="BİREYSEL",'KATKI PAYI'!U111&lt;&gt;0),AND('KATKILI İŞLEMLER'!$D$4="TİCARİ",'KATKI PAYI'!V111&lt;&gt;0)),'KATKI PAYI'!B111,"")</f>
        <v/>
      </c>
      <c r="Z111" s="1" t="str">
        <f>+IF(COUNTIF(Y$2:Y111,Y111)=1,Y111,"")</f>
        <v/>
      </c>
      <c r="AA111" s="1" t="str">
        <f t="array" ref="AA111">+IFERROR(INDEX(Z:Z,SMALL(IF(Z$2:Z$96&lt;&gt;"",ROW(Z$2:Z$96)),ROW(110:110))),"")</f>
        <v/>
      </c>
      <c r="AB111" s="1" t="e">
        <f t="shared" si="25"/>
        <v>#N/A</v>
      </c>
    </row>
  </sheetData>
  <autoFilter ref="A1:AB111" xr:uid="{00000000-0009-0000-0000-000005000000}"/>
  <customSheetViews>
    <customSheetView guid="{DC951F13-F49E-4E21-8FB7-0605E290FF0E}" scale="115" showAutoFilter="1" topLeftCell="E1">
      <selection activeCell="F2" sqref="F2"/>
      <pageMargins left="0.7" right="0.7" top="0.75" bottom="0.75" header="0.3" footer="0.3"/>
      <pageSetup paperSize="9" orientation="portrait" r:id="rId1"/>
      <autoFilter ref="A1:K1713" xr:uid="{A7DCE1C0-36C5-4044-93EE-E773C5D67643}"/>
    </customSheetView>
  </customSheetViews>
  <pageMargins left="0.7" right="0.7" top="0.75" bottom="0.75" header="0.3" footer="0.3"/>
  <pageSetup paperSize="9"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3">
    <tabColor rgb="FFC00000"/>
  </sheetPr>
  <dimension ref="A1:V18"/>
  <sheetViews>
    <sheetView topLeftCell="C1" zoomScale="85" zoomScaleNormal="85" workbookViewId="0">
      <selection activeCell="U3" sqref="U3"/>
    </sheetView>
  </sheetViews>
  <sheetFormatPr defaultColWidth="8.85546875" defaultRowHeight="12.75" x14ac:dyDescent="0.2"/>
  <cols>
    <col min="1" max="1" width="16.140625" style="1" bestFit="1" customWidth="1"/>
    <col min="2" max="3" width="11.42578125" style="1" bestFit="1" customWidth="1"/>
    <col min="4" max="4" width="11.28515625" style="1" bestFit="1" customWidth="1"/>
    <col min="5" max="5" width="30.7109375" style="1" bestFit="1" customWidth="1"/>
    <col min="6" max="6" width="30.7109375" style="1" customWidth="1"/>
    <col min="7" max="8" width="18" style="1" bestFit="1" customWidth="1"/>
    <col min="9" max="9" width="17.85546875" style="1" bestFit="1" customWidth="1"/>
    <col min="10" max="10" width="16.7109375" style="1" bestFit="1" customWidth="1"/>
    <col min="11" max="11" width="18" style="1" bestFit="1" customWidth="1"/>
    <col min="12" max="12" width="14.7109375" style="1" bestFit="1" customWidth="1"/>
    <col min="13" max="13" width="17.85546875" style="1" bestFit="1" customWidth="1"/>
    <col min="14" max="14" width="16.7109375" style="1" bestFit="1" customWidth="1"/>
    <col min="15" max="15" width="8.85546875" style="1" bestFit="1" customWidth="1"/>
    <col min="16" max="16" width="13.28515625" style="1" bestFit="1" customWidth="1"/>
    <col min="17" max="18" width="14.7109375" style="1" bestFit="1" customWidth="1"/>
    <col min="19" max="19" width="8.85546875" style="1" bestFit="1" customWidth="1"/>
    <col min="20" max="20" width="13.28515625" style="1" bestFit="1" customWidth="1"/>
    <col min="21" max="21" width="14.7109375" style="1" bestFit="1" customWidth="1"/>
    <col min="22" max="22" width="8.28515625" style="1" bestFit="1" customWidth="1"/>
    <col min="23" max="23" width="4" style="1" bestFit="1" customWidth="1"/>
    <col min="24" max="24" width="8.85546875" style="1"/>
    <col min="25" max="25" width="8.140625" style="1" bestFit="1" customWidth="1"/>
    <col min="26" max="26" width="5.28515625" style="1" bestFit="1" customWidth="1"/>
    <col min="27" max="27" width="10.5703125" style="1" bestFit="1" customWidth="1"/>
    <col min="28" max="28" width="11.5703125" style="1" bestFit="1" customWidth="1"/>
    <col min="29" max="30" width="12.7109375" style="1" bestFit="1" customWidth="1"/>
    <col min="31" max="31" width="14.5703125" style="1" bestFit="1" customWidth="1"/>
    <col min="32" max="32" width="12.5703125" style="1" bestFit="1" customWidth="1"/>
    <col min="33" max="33" width="14.28515625" style="1" bestFit="1" customWidth="1"/>
    <col min="34" max="34" width="15.7109375" style="1" bestFit="1" customWidth="1"/>
    <col min="35" max="35" width="12.140625" style="1" bestFit="1" customWidth="1"/>
    <col min="36" max="36" width="19.7109375" style="1" bestFit="1" customWidth="1"/>
    <col min="37" max="37" width="16.7109375" style="1" bestFit="1" customWidth="1"/>
    <col min="38" max="16384" width="8.85546875" style="1"/>
  </cols>
  <sheetData>
    <row r="1" spans="1:22" x14ac:dyDescent="0.2">
      <c r="A1" s="1" t="s">
        <v>22</v>
      </c>
    </row>
    <row r="2" spans="1:22" x14ac:dyDescent="0.2">
      <c r="B2" s="3" t="s">
        <v>0</v>
      </c>
      <c r="C2" s="3" t="s">
        <v>1</v>
      </c>
      <c r="D2" s="3" t="s">
        <v>2</v>
      </c>
      <c r="E2" s="27" t="s">
        <v>23</v>
      </c>
      <c r="F2" s="3" t="s">
        <v>3</v>
      </c>
      <c r="G2" s="27" t="s">
        <v>4</v>
      </c>
      <c r="H2" s="3" t="s">
        <v>5</v>
      </c>
      <c r="I2" s="3" t="s">
        <v>6</v>
      </c>
      <c r="J2" s="3" t="s">
        <v>7</v>
      </c>
      <c r="K2" s="3" t="s">
        <v>8</v>
      </c>
      <c r="L2" s="3" t="s">
        <v>10</v>
      </c>
      <c r="M2" s="3" t="s">
        <v>11</v>
      </c>
      <c r="N2" s="3" t="s">
        <v>12</v>
      </c>
      <c r="O2" s="3" t="s">
        <v>13</v>
      </c>
      <c r="P2" s="3" t="s">
        <v>14</v>
      </c>
      <c r="Q2" s="3" t="s">
        <v>15</v>
      </c>
      <c r="R2" s="3" t="s">
        <v>16</v>
      </c>
      <c r="S2" s="3" t="s">
        <v>17</v>
      </c>
      <c r="T2" s="3" t="s">
        <v>18</v>
      </c>
      <c r="U2" s="3" t="s">
        <v>19</v>
      </c>
    </row>
    <row r="3" spans="1:22" ht="14.25" x14ac:dyDescent="0.25">
      <c r="A3" s="4" t="str">
        <f>F3&amp;G3</f>
        <v>50000012</v>
      </c>
      <c r="B3" s="5" t="str">
        <f>'KATKILI İŞLEMLER'!D4</f>
        <v>TİCARİ</v>
      </c>
      <c r="C3" s="5" t="str">
        <f>'KATKILI İŞLEMLER'!B4</f>
        <v>MG</v>
      </c>
      <c r="D3" s="5" t="str">
        <f>'KATKILI İŞLEMLER'!E4</f>
        <v>MG7</v>
      </c>
      <c r="E3" s="5" t="str">
        <f>+'KATKILI İŞLEMLER'!G4</f>
        <v>500.000 TL 12 Ay %1,49</v>
      </c>
      <c r="F3" s="6">
        <f>'KATKILI İŞLEMLER'!H4</f>
        <v>500000</v>
      </c>
      <c r="G3" s="5">
        <f>'KATKILI İŞLEMLER'!I4</f>
        <v>12</v>
      </c>
      <c r="H3" s="7">
        <f>+IF(B3="TİCARİ",VLOOKUP(G3,'TİP,VADE,FAİZ'!D:E,2,0),VLOOKUP(G3,'TİP,VADE,FAİZ'!A:B,2,0))</f>
        <v>3.4000000000000002E-2</v>
      </c>
      <c r="I3" s="8">
        <f>IFERROR(+ROUND((PMT(ROUND(H3,5)*HESAP!$U$3,G3,-F3)),16)," ")</f>
        <v>51955.361222353204</v>
      </c>
      <c r="J3" s="9">
        <f>IFERROR(+ROUND((PMT(ROUND(K3,5)*HESAP!$U$3,G3,-F3)),16)," ")</f>
        <v>46024.376230769602</v>
      </c>
      <c r="K3" s="7">
        <f>'KATKILI İŞLEMLER'!E8</f>
        <v>1.4899999999999801E-2</v>
      </c>
      <c r="L3" s="10">
        <f>IF(B3="Bireysel",VLOOKUP(C3&amp;D3&amp;E3,'KATKI PAYI'!T:U,2,0),VLOOKUP(C3&amp;D3&amp;E3,'KATKI PAYI'!T:V,3,0))</f>
        <v>57426.523494402529</v>
      </c>
      <c r="M3" s="10">
        <f>+ROUND((IF(K3=0,N3,L3)),2)</f>
        <v>57426.52</v>
      </c>
      <c r="N3" s="11">
        <f>O3*U3</f>
        <v>57426.523494403082</v>
      </c>
      <c r="O3" s="120">
        <f>F3+P3</f>
        <v>54691.927137526742</v>
      </c>
      <c r="P3" s="12">
        <f>PV(H3,G3,Q3)</f>
        <v>-445308.07286247326</v>
      </c>
      <c r="Q3" s="11">
        <f>PMT(K3,G3,-F3)</f>
        <v>45811.44648790887</v>
      </c>
      <c r="R3" s="11">
        <f>L3/$U$3</f>
        <v>54691.927137526218</v>
      </c>
      <c r="S3" s="11">
        <f>R3-F3</f>
        <v>-445308.07286247378</v>
      </c>
      <c r="T3" s="11">
        <f>PMT(H3,G3,S3)</f>
        <v>45811.446487908892</v>
      </c>
      <c r="U3" s="13" t="str">
        <f>+IF(B3="Ticari","1,05","1,30")</f>
        <v>1,05</v>
      </c>
    </row>
    <row r="4" spans="1:22" ht="14.25" x14ac:dyDescent="0.25">
      <c r="A4" s="17"/>
      <c r="B4" s="18"/>
      <c r="C4" s="18"/>
      <c r="D4" s="18"/>
      <c r="E4" s="18"/>
      <c r="F4" s="18"/>
      <c r="G4" s="19"/>
      <c r="H4" s="18"/>
      <c r="I4" s="20"/>
      <c r="J4" s="21"/>
      <c r="K4" s="22"/>
      <c r="L4" s="20"/>
      <c r="M4" s="23"/>
      <c r="N4" s="23"/>
      <c r="O4" s="24"/>
      <c r="P4" s="24"/>
      <c r="Q4" s="25"/>
      <c r="R4" s="24"/>
      <c r="S4" s="24"/>
      <c r="T4" s="24"/>
      <c r="U4" s="24"/>
      <c r="V4" s="26"/>
    </row>
    <row r="5" spans="1:22" x14ac:dyDescent="0.2">
      <c r="A5" s="1" t="s">
        <v>42</v>
      </c>
    </row>
    <row r="6" spans="1:22" x14ac:dyDescent="0.2">
      <c r="B6" s="3" t="s">
        <v>0</v>
      </c>
      <c r="C6" s="3" t="s">
        <v>3</v>
      </c>
      <c r="D6" s="27" t="s">
        <v>4</v>
      </c>
      <c r="E6" s="3" t="s">
        <v>5</v>
      </c>
      <c r="F6" s="3" t="s">
        <v>6</v>
      </c>
      <c r="G6" s="3" t="s">
        <v>19</v>
      </c>
    </row>
    <row r="7" spans="1:22" ht="14.25" x14ac:dyDescent="0.25">
      <c r="A7" s="4" t="str">
        <f>C7&amp;D7</f>
        <v>30000012</v>
      </c>
      <c r="B7" s="5" t="str">
        <f>+'KATKISIZ İŞLEMLER'!D3</f>
        <v>BİREYSEL</v>
      </c>
      <c r="C7" s="6">
        <f>+'KATKISIZ İŞLEMLER'!E3</f>
        <v>300000</v>
      </c>
      <c r="D7" s="5">
        <f>+'KATKISIZ İŞLEMLER'!F3</f>
        <v>12</v>
      </c>
      <c r="E7" s="7" t="str">
        <f>IFERROR(+VLOOKUP(B7&amp;D7,'TİP,VADE,FAİZ'!B:B,2,0)," ")</f>
        <v xml:space="preserve"> </v>
      </c>
      <c r="F7" s="8" t="str">
        <f>IFERROR(+ROUND((PMT(ROUND(E7,5)*HESAP!$G$7,D7,-C7)),16)," ")</f>
        <v xml:space="preserve"> </v>
      </c>
      <c r="G7" s="13" t="str">
        <f>+IF(B7="Ticari","1,05","1,30")</f>
        <v>1,30</v>
      </c>
    </row>
    <row r="9" spans="1:22" x14ac:dyDescent="0.2">
      <c r="A9" s="1" t="s">
        <v>46</v>
      </c>
    </row>
    <row r="10" spans="1:22" x14ac:dyDescent="0.2">
      <c r="B10" s="27" t="s">
        <v>0</v>
      </c>
      <c r="C10" s="27" t="s">
        <v>3</v>
      </c>
      <c r="D10" s="27" t="s">
        <v>4</v>
      </c>
      <c r="E10" s="27" t="s">
        <v>5</v>
      </c>
      <c r="F10" s="27" t="s">
        <v>11</v>
      </c>
      <c r="G10" s="27" t="s">
        <v>8</v>
      </c>
      <c r="H10" s="27" t="s">
        <v>7</v>
      </c>
      <c r="I10" s="27" t="s">
        <v>45</v>
      </c>
      <c r="J10" s="27" t="s">
        <v>6</v>
      </c>
      <c r="K10" s="27" t="s">
        <v>13</v>
      </c>
      <c r="L10" s="27" t="s">
        <v>14</v>
      </c>
      <c r="M10" s="27" t="s">
        <v>15</v>
      </c>
      <c r="N10" s="27" t="s">
        <v>19</v>
      </c>
    </row>
    <row r="11" spans="1:22" ht="15" x14ac:dyDescent="0.25">
      <c r="A11" s="4" t="str">
        <f>C11&amp;D11</f>
        <v>25000011</v>
      </c>
      <c r="B11" s="6" t="s">
        <v>9</v>
      </c>
      <c r="C11" s="88">
        <f>IF('İLK TAKSİT PEŞİN - %0,99'!C4=0,"ERROR",'İLK TAKSİT PEŞİN - %0,99'!C4)</f>
        <v>250000</v>
      </c>
      <c r="D11" s="5">
        <f>+'İLK TAKSİT PEŞİN - %0,99'!D4</f>
        <v>11</v>
      </c>
      <c r="E11" s="7" t="str">
        <f>IFERROR(+VLOOKUP(B11&amp;D11,'TİP,VADE,FAİZ'!K:K,2,0)," ")</f>
        <v xml:space="preserve"> </v>
      </c>
      <c r="F11" s="10">
        <f>+IF(D11=11,C11*'İLK TAKSİT PEŞİN - %0,99'!D21,IF(D11=17,C11*'İLK TAKSİT PEŞİN - %0,99'!D22,IF(D11=23,C11*'İLK TAKSİT PEŞİN - %0,99'!D23)))</f>
        <v>39725</v>
      </c>
      <c r="G11" s="7">
        <f>+'İLK TAKSİT PEŞİN - %0,99'!C8</f>
        <v>9.9000000000000008E-3</v>
      </c>
      <c r="H11" s="9">
        <f>+ROUND((PMT(ROUND(G11,5)*$N$11,D11,-C11)),16)</f>
        <v>24519.664860328801</v>
      </c>
      <c r="I11" s="57">
        <f>(+H11*D11)+F11</f>
        <v>309441.31346361683</v>
      </c>
      <c r="J11" s="8" t="e">
        <f>PMT(ROUND(E11,5)*$N$11,D11+1,-C11)</f>
        <v>#VALUE!</v>
      </c>
      <c r="K11" s="11" t="e">
        <f>C11+L11</f>
        <v>#VALUE!</v>
      </c>
      <c r="L11" s="12" t="e">
        <f>PV(E11,D11,M11)</f>
        <v>#VALUE!</v>
      </c>
      <c r="M11" s="11">
        <f>IF(C11=0,"ERROR",PMT(G11,D11,-C11))</f>
        <v>24099.4338156583</v>
      </c>
      <c r="N11" s="13">
        <v>1.3</v>
      </c>
    </row>
    <row r="18" spans="5:6" x14ac:dyDescent="0.2">
      <c r="E18" s="16"/>
      <c r="F18" s="16"/>
    </row>
  </sheetData>
  <customSheetViews>
    <customSheetView guid="{DC951F13-F49E-4E21-8FB7-0605E290FF0E}" topLeftCell="G1">
      <selection activeCell="I3" sqref="I3"/>
      <pageMargins left="0.7" right="0.7" top="0.75" bottom="0.75" header="0.3" footer="0.3"/>
      <pageSetup paperSize="9" orientation="portrait" r:id="rId1"/>
    </customSheetView>
  </customSheetViews>
  <dataValidations count="2">
    <dataValidation type="whole" allowBlank="1" showInputMessage="1" showErrorMessage="1" sqref="C7 G4" xr:uid="{00000000-0002-0000-0600-000000000000}">
      <formula1>1000</formula1>
      <formula2>400000</formula2>
    </dataValidation>
    <dataValidation type="list" allowBlank="1" showInputMessage="1" showErrorMessage="1" sqref="H4 G3" xr:uid="{00000000-0002-0000-0600-000001000000}">
      <formula1>$B$2:$B$14</formula1>
    </dataValidation>
  </dataValidations>
  <pageMargins left="0.7" right="0.7" top="0.75" bottom="0.75" header="0.3" footer="0.3"/>
  <pageSetup paperSize="9" orientation="portrait"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600-000002000000}">
          <x14:formula1>
            <xm:f>'TİP,VADE,FAİZ'!#REF!</xm:f>
          </x14:formula1>
          <xm:sqref>B3:B4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titus xmlns="http://schemas.titus.com/TitusProperties/">
  <TitusGUID xmlns="">2344dd15-a69d-46c0-a032-8a4f4219ba44</TitusGUID>
  <TitusMetadata xmlns="">eyJucyI6Imh0dHBzOlwvXC93d3cueWt0ZWtub2xvamkuY29tLnRyXC8iLCJwcm9wcyI6W3sibiI6IkNsYXNzaWZpY2F0aW9uIiwidmFscyI6W3sidmFsdWUiOiJLRDQ4NzUtYjUyNy01OTc4MzZhMTYyY2MifV19LHsibiI6IlN1YkNsYXNzaWZpY2F0aW9uIiwidmFscyI6W119XX0=</TitusMetadata>
</titus>
</file>

<file path=customXml/itemProps1.xml><?xml version="1.0" encoding="utf-8"?>
<ds:datastoreItem xmlns:ds="http://schemas.openxmlformats.org/officeDocument/2006/customXml" ds:itemID="{E8AC6BCA-ABF6-41D2-A463-895863188A81}">
  <ds:schemaRefs>
    <ds:schemaRef ds:uri="http://schemas.titus.com/TitusProperties/"/>
    <ds:schemaRef ds:uri="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8</vt:i4>
      </vt:variant>
    </vt:vector>
  </HeadingPairs>
  <TitlesOfParts>
    <vt:vector size="8" baseType="lpstr">
      <vt:lpstr>KATKISIZ İŞLEMLER</vt:lpstr>
      <vt:lpstr>KATKILI İŞLEMLER</vt:lpstr>
      <vt:lpstr>İLK TAKSİT PEŞİN - %0,59</vt:lpstr>
      <vt:lpstr>İLK TAKSİT PEŞİN - %0,99</vt:lpstr>
      <vt:lpstr>İLK TAKSİT PEŞİN - %1,69</vt:lpstr>
      <vt:lpstr>TİP,VADE,FAİZ</vt:lpstr>
      <vt:lpstr>KATKI PAYI</vt:lpstr>
      <vt:lpstr>HESAP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Tuğrul Erdoğan</dc:creator>
  <cp:keywords>Kurum Dışı</cp:keywords>
  <cp:lastModifiedBy>Furkan Sapmaz</cp:lastModifiedBy>
  <dcterms:created xsi:type="dcterms:W3CDTF">2015-06-05T18:17:20Z</dcterms:created>
  <dcterms:modified xsi:type="dcterms:W3CDTF">2025-10-09T09:02:38Z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b17a133-63a5-48a8-9ebe-e07c9f2616be_Enabled">
    <vt:lpwstr>true</vt:lpwstr>
  </property>
  <property fmtid="{D5CDD505-2E9C-101B-9397-08002B2CF9AE}" pid="3" name="MSIP_Label_7b17a133-63a5-48a8-9ebe-e07c9f2616be_SetDate">
    <vt:lpwstr>2024-10-11T21:19:36Z</vt:lpwstr>
  </property>
  <property fmtid="{D5CDD505-2E9C-101B-9397-08002B2CF9AE}" pid="4" name="MSIP_Label_7b17a133-63a5-48a8-9ebe-e07c9f2616be_Method">
    <vt:lpwstr>Privileged</vt:lpwstr>
  </property>
  <property fmtid="{D5CDD505-2E9C-101B-9397-08002B2CF9AE}" pid="5" name="MSIP_Label_7b17a133-63a5-48a8-9ebe-e07c9f2616be_Name">
    <vt:lpwstr>7b17a133-63a5-48a8-9ebe-e07c9f2616be</vt:lpwstr>
  </property>
  <property fmtid="{D5CDD505-2E9C-101B-9397-08002B2CF9AE}" pid="6" name="MSIP_Label_7b17a133-63a5-48a8-9ebe-e07c9f2616be_SiteId">
    <vt:lpwstr>11da1590-20b4-4904-9318-a727a2a59a24</vt:lpwstr>
  </property>
  <property fmtid="{D5CDD505-2E9C-101B-9397-08002B2CF9AE}" pid="7" name="MSIP_Label_7b17a133-63a5-48a8-9ebe-e07c9f2616be_ActionId">
    <vt:lpwstr>0d2338aa-7683-4598-8996-ac0b18b0a9c9</vt:lpwstr>
  </property>
  <property fmtid="{D5CDD505-2E9C-101B-9397-08002B2CF9AE}" pid="8" name="MSIP_Label_7b17a133-63a5-48a8-9ebe-e07c9f2616be_ContentBits">
    <vt:lpwstr>0</vt:lpwstr>
  </property>
  <property fmtid="{D5CDD505-2E9C-101B-9397-08002B2CF9AE}" pid="9" name="TitusGUID">
    <vt:lpwstr>2344dd15-a69d-46c0-a032-8a4f4219ba44</vt:lpwstr>
  </property>
  <property fmtid="{D5CDD505-2E9C-101B-9397-08002B2CF9AE}" pid="10" name="Classification">
    <vt:lpwstr>KD4875-b527-597836a162cc</vt:lpwstr>
  </property>
  <property fmtid="{D5CDD505-2E9C-101B-9397-08002B2CF9AE}" pid="11" name="SV_QUERY_LIST_4F35BF76-6C0D-4D9B-82B2-816C12CF3733">
    <vt:lpwstr>empty_477D106A-C0D6-4607-AEBD-E2C9D60EA279</vt:lpwstr>
  </property>
  <property fmtid="{D5CDD505-2E9C-101B-9397-08002B2CF9AE}" pid="12" name="SV_HIDDEN_GRID_QUERY_LIST_4F35BF76-6C0D-4D9B-82B2-816C12CF3733">
    <vt:lpwstr>empty_477D106A-C0D6-4607-AEBD-E2C9D60EA279</vt:lpwstr>
  </property>
</Properties>
</file>